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1P2E63YhEvDSloeR3N7bDNXH6hpvGvQWlgsW0tcuMyINRAKapgznokP4tN0oOa0CItQlsnIMkv8U6L47IZvPRg==" workbookSaltValue="YNvPMKH4Xesx/BzuUv7c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AX20" i="20"/>
  <c r="AC19" i="8" l="1"/>
  <c r="AL16" i="11"/>
  <c r="C16" i="6"/>
  <c r="S19" i="8"/>
  <c r="C12" i="14"/>
  <c r="K12" i="14" s="1"/>
  <c r="BD15" i="13"/>
  <c r="BE15" i="13"/>
  <c r="BE16"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J9" i="12" l="1"/>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9" i="21"/>
  <c r="G19" i="7"/>
  <c r="U13" i="17"/>
  <c r="R19" i="20"/>
  <c r="AO13" i="17"/>
  <c r="V19" i="20"/>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<sst xmlns="http://schemas.openxmlformats.org/spreadsheetml/2006/main" count="2102" uniqueCount="917">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</sst>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XP9tsjkvAgUEDelkXR0ovj07uMeweAUQe5DVnPJ9z8c3gxESvpbOkUmYdjRDUyQ1IrLA+YgdnAv0mOgkVq+ew==" saltValue="F1KWmLG+45J84zJbUkex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HARO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4</v>
      </c>
      <c r="F10" s="404">
        <f>IF(ISNUMBER(E10/B10),E10/B10," - ")</f>
        <v>4</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977</v>
      </c>
      <c r="D12" s="404">
        <f>IF(ISNUMBER(C12/Datos!BH12),C12/Datos!BH12," - ")</f>
        <v>488.5</v>
      </c>
      <c r="E12" s="403">
        <f>IF(ISNUMBER(IF(J_V="SI",Datos!J12,Datos!J12+Datos!Z12)),IF(J_V="SI",Datos!J12,Datos!J12+Datos!Z12)," - ")</f>
        <v>405</v>
      </c>
      <c r="F12" s="404">
        <f>IF(ISNUMBER(E12/B12),E12/B12," - ")</f>
        <v>202.5</v>
      </c>
      <c r="G12" s="403">
        <f>IF(ISNUMBER(IF(J_V="SI",Datos!K12,Datos!K12+Datos!AA12)),IF(J_V="SI",Datos!K12,Datos!K12+Datos!AA12)," - ")</f>
        <v>541</v>
      </c>
      <c r="H12" s="404">
        <f>IF(ISNUMBER(G12/B12),G12/B12," - ")</f>
        <v>270.5</v>
      </c>
      <c r="I12" s="403">
        <f>IF(ISNUMBER(IF(J_V="SI",Datos!L12,Datos!L12+Datos!AB12)),IF(J_V="SI",Datos!L12,Datos!L12+Datos!AB12)," - ")</f>
        <v>841</v>
      </c>
      <c r="J12" s="404">
        <f>IF(ISNUMBER(I12/B12),I12/B12," - ")</f>
        <v>420.5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979</v>
      </c>
      <c r="D13" s="850" t="str">
        <f>IF(ISNUMBER(C13/Datos!BI13),C13/Datos!BI13," - ")</f>
        <v xml:space="preserve"> - </v>
      </c>
      <c r="E13" s="849">
        <f>SUBTOTAL(9,E8:E12)</f>
        <v>409</v>
      </c>
      <c r="F13" s="850">
        <f>IF(ISNUMBER(E13/B13),E13/B13," - ")</f>
        <v>204.5</v>
      </c>
      <c r="G13" s="849">
        <f>SUBTOTAL(9,G8:G12)</f>
        <v>543</v>
      </c>
      <c r="H13" s="850">
        <f>IF(ISNUMBER(G13/B13),G13/B13," - ")</f>
        <v>271.5</v>
      </c>
      <c r="I13" s="849">
        <f>SUBTOTAL(9,I8:I12)</f>
        <v>845</v>
      </c>
      <c r="J13" s="850">
        <f>IF(ISNUMBER(I13/B13),I13/B13," - ")</f>
        <v>422.5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510</v>
      </c>
      <c r="D16" s="404">
        <f>IF(ISNUMBER(C16/Datos!BH16),C16/Datos!BH16," - ")</f>
        <v>255</v>
      </c>
      <c r="E16" s="403">
        <f>IF(ISNUMBER(IF(D_I="SI",Datos!J16,Datos!J16+Datos!AD16)),IF(D_I="SI",Datos!J16,Datos!J16+Datos!AD16)," - ")</f>
        <v>289</v>
      </c>
      <c r="F16" s="404">
        <f>IF(ISNUMBER(E16/B16),E16/B16," - ")</f>
        <v>144.5</v>
      </c>
      <c r="G16" s="403">
        <f>IF(ISNUMBER(IF(D_I="SI",Datos!K16,Datos!K16+Datos!AE16)),IF(D_I="SI",Datos!K16,Datos!K16+Datos!AE16)," - ")</f>
        <v>252</v>
      </c>
      <c r="H16" s="404">
        <f>IF(ISNUMBER(G16/B16),G16/B16," - ")</f>
        <v>126</v>
      </c>
      <c r="I16" s="403">
        <f>IF(ISNUMBER(IF(D_I="SI",Datos!L16,Datos!L16+Datos!AF16)),IF(D_I="SI",Datos!L16,Datos!L16+Datos!AF16)," - ")</f>
        <v>548</v>
      </c>
      <c r="J16" s="404">
        <f>IF(ISNUMBER(I16/B16),I16/B16," - ")</f>
        <v>274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15</v>
      </c>
      <c r="F17" s="404">
        <f>IF(ISNUMBER(E17/B17),E17/B17," - ")</f>
        <v>15</v>
      </c>
      <c r="G17" s="403">
        <f>IF(ISNUMBER(IF(D_I="SI",Datos!K17,Datos!K17+Datos!AE17)),IF(D_I="SI",Datos!K17,Datos!K17+Datos!AE17)," - ")</f>
        <v>25</v>
      </c>
      <c r="H17" s="404">
        <f>IF(ISNUMBER(G17/B17),G17/B17," - ")</f>
        <v>25</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557</v>
      </c>
      <c r="D18" s="850" t="str">
        <f>IF(ISNUMBER(C18/Datos!BI18),C18/Datos!BI18," - ")</f>
        <v xml:space="preserve"> - </v>
      </c>
      <c r="E18" s="849">
        <f>SUBTOTAL(9,E14:E17)</f>
        <v>304</v>
      </c>
      <c r="F18" s="850">
        <f>IF(ISNUMBER(E18/B18),E18/B18," - ")</f>
        <v>152</v>
      </c>
      <c r="G18" s="849">
        <f>SUBTOTAL(9,G14:G17)</f>
        <v>277</v>
      </c>
      <c r="H18" s="850">
        <f>IF(ISNUMBER(G18/B18),G18/B18," - ")</f>
        <v>138.5</v>
      </c>
      <c r="I18" s="849">
        <f>SUBTOTAL(9,I14:I17)</f>
        <v>585</v>
      </c>
      <c r="J18" s="850">
        <f>IF(ISNUMBER(I18/B18),I18/B18," - ")</f>
        <v>292.5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1536</v>
      </c>
      <c r="D19" s="795" t="str">
        <f>IF(ISNUMBER(C19/Datos!BI19),C19/Datos!BI19," - ")</f>
        <v xml:space="preserve"> - </v>
      </c>
      <c r="E19" s="794">
        <f>SUBTOTAL(9,E9:E18)</f>
        <v>713</v>
      </c>
      <c r="F19" s="795">
        <f>IF(ISNUMBER(E19/B19),E19/B19," - ")</f>
        <v>356.5</v>
      </c>
      <c r="G19" s="794">
        <f>SUBTOTAL(9,G9:G18)</f>
        <v>820</v>
      </c>
      <c r="H19" s="795">
        <f>IF(ISNUMBER(G19/B19),G19/B19," - ")</f>
        <v>410</v>
      </c>
      <c r="I19" s="794">
        <f>SUBTOTAL(9,I9:I18)</f>
        <v>1430</v>
      </c>
      <c r="J19" s="795">
        <f>IF(ISNUMBER(I19/B19),I19/B19," - ")</f>
        <v>715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FyxG7J8qB9+ZLW8uZwlurEa0Tozy5kI0173jQjzYnBMjo8m+K+a+uGOstqsAtrelxorauPrixlkdoOX1bsgtQ==" saltValue="MacOVQ7NRQOQkdNH58NJ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MsdgRsGeySpN7d/FeXKvtfqBTVJpHO7y0sc5Qphu0yEFUXjQ1Mznw7jOBbHEnHwpSF9haJzGtS1tF/IGF5Aig==" saltValue="Ib3FDXl/ThpYGYQoN4x0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HARO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151</v>
      </c>
      <c r="E12" s="404">
        <f t="shared" si="0"/>
        <v>75.5</v>
      </c>
      <c r="F12" s="403">
        <f>IF(ISNUMBER(Datos!N12),Datos!N12," - ")</f>
        <v>243</v>
      </c>
      <c r="G12" s="404">
        <f t="shared" si="1"/>
        <v>121.5</v>
      </c>
      <c r="H12" s="403">
        <f>IF(ISNUMBER(Datos!O12),Datos!O12," - ")</f>
        <v>184</v>
      </c>
      <c r="I12" s="404">
        <f t="shared" si="2"/>
        <v>92</v>
      </c>
      <c r="BZ12" s="1186">
        <f>Datos!EZ12</f>
        <v>0</v>
      </c>
    </row>
    <row r="13" spans="1:78" ht="14.25" thickTop="1" thickBot="1">
      <c r="A13" s="848" t="str">
        <f>Datos!A13</f>
        <v>TOTAL</v>
      </c>
      <c r="B13" s="849">
        <f>Datos!AP13</f>
        <v>2</v>
      </c>
      <c r="C13" s="851">
        <f>Datos!AR13</f>
        <v>2</v>
      </c>
      <c r="D13" s="849">
        <f>SUBTOTAL(9,D9:D12)</f>
        <v>152</v>
      </c>
      <c r="E13" s="850">
        <f t="shared" si="0"/>
        <v>76</v>
      </c>
      <c r="F13" s="849">
        <f>SUBTOTAL(9,F9:F12)</f>
        <v>244</v>
      </c>
      <c r="G13" s="850">
        <f t="shared" si="1"/>
        <v>122</v>
      </c>
      <c r="H13" s="849">
        <f>SUBTOTAL(9,H9:H12)</f>
        <v>184</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106</v>
      </c>
      <c r="G16" s="404">
        <f t="shared" si="4"/>
        <v>53</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123</v>
      </c>
      <c r="G18" s="850">
        <f t="shared" si="4"/>
        <v>61.5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195</v>
      </c>
      <c r="E19" s="795">
        <f>IF(ISNUMBER(D19/B19),D19/B19," - ")</f>
        <v>97.5</v>
      </c>
      <c r="F19" s="794">
        <f>SUBTOTAL(9,F8:F18)</f>
        <v>367</v>
      </c>
      <c r="G19" s="795">
        <f>IF(ISNUMBER(F19/B19),F19/B19," - ")</f>
        <v>183.5</v>
      </c>
      <c r="H19" s="794">
        <f>SUBTOTAL(9,H8:H18)</f>
        <v>188</v>
      </c>
      <c r="I19" s="795">
        <f>IF(ISNUMBER(H19/B19),H19/B19," - ")</f>
        <v>94</v>
      </c>
    </row>
    <row r="22" spans="1:78">
      <c r="A22" s="391" t="str">
        <f>Criterios!A4</f>
        <v>Fecha Informe: 28 feb. 2025</v>
      </c>
    </row>
    <row r="27" spans="1:78">
      <c r="A27" s="414"/>
    </row>
  </sheetData>
  <sheetProtection algorithmName="SHA-512" hashValue="KfDInXujzVKIleL30R0zmrlXv3i4j+Tw0KituKtEi78BgeqYwYxTh6MojlRyEBsPLan9VLjiXgM+3vgvqrVO+w==" saltValue="X6bZhSqjim39MYEJCV8h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105</v>
      </c>
      <c r="C12" s="434">
        <f>IF(ISNUMBER(Datos!Q12),Datos!Q12," - ")</f>
        <v>115</v>
      </c>
      <c r="D12" s="408">
        <f>IF(ISNUMBER(Datos!R12),Datos!R12," - ")</f>
        <v>1487</v>
      </c>
    </row>
    <row r="13" spans="1:4" ht="14.25" thickTop="1" thickBot="1">
      <c r="A13" s="848" t="str">
        <f>Datos!A13</f>
        <v>TOTAL</v>
      </c>
      <c r="B13" s="849">
        <f>SUBTOTAL(9,B9:B12)</f>
        <v>108</v>
      </c>
      <c r="C13" s="853">
        <f>SUBTOTAL(9,C9:C12)</f>
        <v>115</v>
      </c>
      <c r="D13" s="851">
        <f>SUBTOTAL(9,D9:D12)</f>
        <v>1492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8</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8</v>
      </c>
      <c r="D18" s="851">
        <f>SUBTOTAL(9,D15:D17)</f>
        <v>62</v>
      </c>
    </row>
    <row r="19" spans="1:4" ht="16.5" customHeight="1" thickTop="1" thickBot="1">
      <c r="A19" s="793" t="str">
        <f>Datos!A19</f>
        <v>TOTAL JURISDICCIONES</v>
      </c>
      <c r="B19" s="798">
        <f>SUBTOTAL(9,B8:B18)</f>
        <v>113</v>
      </c>
      <c r="C19" s="799">
        <f>SUBTOTAL(9,C8:C18)</f>
        <v>123</v>
      </c>
      <c r="D19" s="800">
        <f>SUBTOTAL(9,D8:D18)</f>
        <v>1554</v>
      </c>
    </row>
    <row r="20" spans="1:4" ht="7.5" customHeight="1"/>
    <row r="21" spans="1:4" ht="6" customHeight="1"/>
    <row r="22" spans="1:4">
      <c r="A22" s="391" t="str">
        <f>Criterios!A4</f>
        <v>Fecha Informe: 28 feb. 2025</v>
      </c>
    </row>
    <row r="27" spans="1:4">
      <c r="A27" s="414"/>
    </row>
  </sheetData>
  <sheetProtection algorithmName="SHA-512" hashValue="9x4FxmSppoOwL6O5E/3F7qyKLvqm2q5F8A+opjkUD8/V79vpTzAe1VG2mbyifcCcXgndL5/XhcwGfKYUIj3x3g==" saltValue="0nNwtggDToLdvEAIh3/o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-0.12455197132616487</v>
      </c>
      <c r="C12" s="456">
        <f>IF(ISNUMBER(
   IF(J_V="SI",(Datos!J12-Datos!T12)/Datos!T12,(Datos!J12+Datos!Z12-(Datos!T12+Datos!AH12))/(Datos!T12+Datos!AH12))
     ),IF(J_V="SI",(Datos!J12-Datos!T12)/Datos!T12,(Datos!J12+Datos!Z12-(Datos!T12+Datos!AH12))/(Datos!T12+Datos!AH12))," - ")</f>
        <v>0.08</v>
      </c>
      <c r="D12" s="456">
        <f>IF(ISNUMBER(
   IF(J_V="SI",(Datos!K12-Datos!U12)/Datos!U12,(Datos!K12+Datos!AA12-(Datos!U12+Datos!AI12))/(Datos!U12+Datos!AI12))
     ),IF(J_V="SI",(Datos!K12-Datos!U12)/Datos!U12,(Datos!K12+Datos!AA12-(Datos!U12+Datos!AI12))/(Datos!U12+Datos!AI12))," - ")</f>
        <v>0.51117318435754189</v>
      </c>
      <c r="E12" s="456">
        <f>IF(ISNUMBER(
   IF(J_V="SI",(Datos!L12-Datos!V12)/Datos!V12,(Datos!L12+Datos!AB12-(Datos!V12+Datos!AJ12))/(Datos!V12+Datos!AJ12))
     ),IF(J_V="SI",(Datos!L12-Datos!V12)/Datos!V12,(Datos!L12+Datos!AB12-(Datos!V12+Datos!AJ12))/(Datos!V12+Datos!AJ12))," - ")</f>
        <v>-0.25772285966460723</v>
      </c>
      <c r="F12" s="456">
        <f>IF(ISNUMBER((Datos!M12-Datos!W12)/Datos!W12),(Datos!M12-Datos!W12)/Datos!W12," - ")</f>
        <v>1.0684931506849316</v>
      </c>
      <c r="G12" s="457">
        <f>IF(ISNUMBER((Datos!N12-Datos!X12)/Datos!X12),(Datos!N12-Datos!X12)/Datos!X12," - ")</f>
        <v>1.0249999999999999</v>
      </c>
      <c r="H12" s="455">
        <f>IF(ISNUMBER(((NºAsuntos!G12/NºAsuntos!E12)-Datos!BD12)/Datos!BD12),((NºAsuntos!G12/NºAsuntos!E12)-Datos!BD12)/Datos!BD12," - ")</f>
        <v>0.39923442996068681</v>
      </c>
      <c r="I12" s="456">
        <f>IF(ISNUMBER(((NºAsuntos!I12/NºAsuntos!G12)-Datos!BE12)/Datos!BE12),((NºAsuntos!I12/NºAsuntos!G12)-Datos!BE12)/Datos!BE12," - ")</f>
        <v>-0.50880736369672719</v>
      </c>
      <c r="J12" s="461">
        <f>IF(ISNUMBER((('Resol  Asuntos'!D12/NºAsuntos!G12)-Datos!BF12)/Datos!BF12),(('Resol  Asuntos'!D12/NºAsuntos!G12)-Datos!BF12)/Datos!BF12," - ")</f>
        <v>-0.16731361675908812</v>
      </c>
      <c r="K12" s="462">
        <f>IF(ISNUMBER((((NºAsuntos!C12+NºAsuntos!E12)/NºAsuntos!G12)-Datos!BG12)/Datos!BG12),(((NºAsuntos!C12+NºAsuntos!E12)/NºAsuntos!G12)-Datos!BG12)/Datos!BG12," - ")</f>
        <v>-0.38663899602172491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-0.12275985663082438</v>
      </c>
      <c r="C13" s="855">
        <f>IF(ISNUMBER(
   IF(J_V="SI",(Datos!J13-Datos!T13)/Datos!T13,(Datos!J13+Datos!Z13-(Datos!T13+Datos!AH13))/(Datos!T13+Datos!AH13))
     ),IF(J_V="SI",(Datos!J13-Datos!T13)/Datos!T13,(Datos!J13+Datos!Z13-(Datos!T13+Datos!AH13))/(Datos!T13+Datos!AH13))," - ")</f>
        <v>9.0666666666666673E-2</v>
      </c>
      <c r="D13" s="855">
        <f>IF(ISNUMBER(
   IF(J_V="SI",(Datos!K13-Datos!U13)/Datos!U13,(Datos!K13+Datos!AA13-(Datos!U13+Datos!AI13))/(Datos!U13+Datos!AI13))
     ),IF(J_V="SI",(Datos!K13-Datos!U13)/Datos!U13,(Datos!K13+Datos!AA13-(Datos!U13+Datos!AI13))/(Datos!U13+Datos!AI13))," - ")</f>
        <v>0.51675977653631289</v>
      </c>
      <c r="E13" s="855">
        <f>IF(ISNUMBER(
   IF(J_V="SI",(Datos!L13-Datos!V13)/Datos!V13,(Datos!L13+Datos!AB13-(Datos!V13+Datos!AJ13))/(Datos!V13+Datos!AJ13))
     ),IF(J_V="SI",(Datos!L13-Datos!V13)/Datos!V13,(Datos!L13+Datos!AB13-(Datos!V13+Datos!AJ13))/(Datos!V13+Datos!AJ13))," - ")</f>
        <v>-0.25419240953221534</v>
      </c>
      <c r="F13" s="856">
        <f>IF(ISNUMBER((Datos!M13-Datos!W13)/Datos!W13),(Datos!M13-Datos!W13)/Datos!W13," - ")</f>
        <v>1.0821917808219179</v>
      </c>
      <c r="G13" s="857">
        <f>IF(ISNUMBER((Datos!N13-Datos!X13)/Datos!X13),(Datos!N13-Datos!X13)/Datos!X13," - ")</f>
        <v>1.0333333333333334</v>
      </c>
      <c r="H13" s="857">
        <f>IF(ISNUMBER(((NºAsuntos!G13/NºAsuntos!E13)-Datos!BD13)/Datos!BD13),((NºAsuntos!G13/NºAsuntos!E13)-Datos!BD13)/Datos!BD13," - ")</f>
        <v>0.39067216675089816</v>
      </c>
      <c r="I13" s="857">
        <f>IF(ISNUMBER(((NºAsuntos!I13/NºAsuntos!G13)-Datos!BE13)/Datos!BE13),((NºAsuntos!I13/NºAsuntos!G13)-Datos!BE13)/Datos!BE13," - ")</f>
        <v>-0.50828891825512545</v>
      </c>
      <c r="J13" s="857">
        <f>IF(ISNUMBER((('Resol  Asuntos'!D13/NºAsuntos!G13)-Datos!BF13)/Datos!BF13),(('Resol  Asuntos'!D13/NºAsuntos!G13)-Datos!BF13)/Datos!BF13," - ")</f>
        <v>-0.16488643339472062</v>
      </c>
      <c r="K13" s="857">
        <f>IF(ISNUMBER((((NºAsuntos!C13+NºAsuntos!E13)/NºAsuntos!G13)-Datos!BG13)/Datos!BG13),(((NºAsuntos!C13+NºAsuntos!E13)/NºAsuntos!G13)-Datos!BG13)/Datos!BG13," - ")</f>
        <v>-0.38624503312076258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3.937007874015748E-3</v>
      </c>
      <c r="C16" s="456">
        <f>IF(ISNUMBER(
   IF(D_I="SI",(Datos!J16-Datos!T16)/Datos!T16,(Datos!J16+Datos!AD16-(Datos!T16+Datos!AL16))/(Datos!T16+Datos!AL16))
     ),IF(D_I="SI",(Datos!J16-Datos!T16)/Datos!T16,(Datos!J16+Datos!AD16-(Datos!T16+Datos!AL16))/(Datos!T16+Datos!AL16))," - ")</f>
        <v>7.0370370370370375E-2</v>
      </c>
      <c r="D16" s="456">
        <f>IF(ISNUMBER(
   IF(D_I="SI",(Datos!K16-Datos!U16)/Datos!U16,(Datos!K16+Datos!AE16-(Datos!U16+Datos!AM16))/(Datos!U16+Datos!AM16))
     ),IF(D_I="SI",(Datos!K16-Datos!U16)/Datos!U16,(Datos!K16+Datos!AE16-(Datos!U16+Datos!AM16))/(Datos!U16+Datos!AM16))," - ")</f>
        <v>-0.15436241610738255</v>
      </c>
      <c r="E16" s="456">
        <f>IF(ISNUMBER(
   IF(D_I="SI",(Datos!L16-Datos!V16)/Datos!V16,(Datos!L16+Datos!AF16-(Datos!V16+Datos!AN16))/(Datos!V16+Datos!AN16))
     ),IF(D_I="SI",(Datos!L16-Datos!V16)/Datos!V16,(Datos!L16+Datos!AF16-(Datos!V16+Datos!AN16))/(Datos!V16+Datos!AN16))," - ")</f>
        <v>0.13457556935817805</v>
      </c>
      <c r="F16" s="456">
        <f>IF(ISNUMBER((Datos!M16-Datos!W16)/Datos!W16),(Datos!M16-Datos!W16)/Datos!W16," - ")</f>
        <v>5.4054054054054057E-2</v>
      </c>
      <c r="G16" s="457">
        <f>IF(ISNUMBER((Datos!N16-Datos!X16)/Datos!X16),(Datos!N16-Datos!X16)/Datos!X16," - ")</f>
        <v>-0.28378378378378377</v>
      </c>
      <c r="H16" s="455">
        <f>IF(ISNUMBER(((NºAsuntos!G16/NºAsuntos!E16)-Datos!BD16)/Datos!BD16),((NºAsuntos!G16/NºAsuntos!E16)-Datos!BD16)/Datos!BD16," - ")</f>
        <v>-0.20995796660551302</v>
      </c>
      <c r="I16" s="456">
        <f>IF(ISNUMBER(((NºAsuntos!I16/NºAsuntos!G16)-Datos!BE16)/Datos!BE16),((NºAsuntos!I16/NºAsuntos!G16)-Datos!BE16)/Datos!BE16," - ")</f>
        <v>0.34168063360609929</v>
      </c>
      <c r="J16" s="461">
        <f>IF(ISNUMBER((('Resol  Asuntos'!D16/NºAsuntos!G16)-Datos!BF16)/Datos!BF16),(('Resol  Asuntos'!D16/NºAsuntos!G16)-Datos!BF16)/Datos!BF16," - ")</f>
        <v>0.2464607464607465</v>
      </c>
      <c r="K16" s="462">
        <f>IF(ISNUMBER((((NºAsuntos!C16+NºAsuntos!E16)/NºAsuntos!G16)-Datos!BG16)/Datos!BG16),(((NºAsuntos!C16+NºAsuntos!E16)/NºAsuntos!G16)-Datos!BG16)/Datos!BG16," - ")</f>
        <v>0.21445913412494388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2.1739130434782608E-2</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0.31578947368421051</v>
      </c>
      <c r="E17" s="456">
        <f>IF(ISNUMBER(
   IF(D_I="SI",(Datos!L17-Datos!V17)/Datos!V17,(Datos!L17+Datos!AF17-(Datos!V17+Datos!AN17))/(Datos!V17+Datos!AN17))
     ),IF(D_I="SI",(Datos!L17-Datos!V17)/Datos!V17,(Datos!L17+Datos!AF17-(Datos!V17+Datos!AN17))/(Datos!V17+Datos!AN17))," - ")</f>
        <v>-0.22916666666666666</v>
      </c>
      <c r="F17" s="456">
        <f>IF(ISNUMBER((Datos!M17-Datos!W17)/Datos!W17),(Datos!M17-Datos!W17)/Datos!W17," - ")</f>
        <v>-0.2</v>
      </c>
      <c r="G17" s="457">
        <f>IF(ISNUMBER((Datos!N17-Datos!X17)/Datos!X17),(Datos!N17-Datos!X17)/Datos!X17," - ")</f>
        <v>0.30769230769230771</v>
      </c>
      <c r="H17" s="455">
        <f>IF(ISNUMBER(((NºAsuntos!G17/NºAsuntos!E17)-Datos!BD17)/Datos!BD17),((NºAsuntos!G17/NºAsuntos!E17)-Datos!BD17)/Datos!BD17," - ")</f>
        <v>0.8421052631578948</v>
      </c>
      <c r="I17" s="456">
        <f>IF(ISNUMBER(((NºAsuntos!I17/NºAsuntos!G17)-Datos!BE17)/Datos!BE17),((NºAsuntos!I17/NºAsuntos!G17)-Datos!BE17)/Datos!BE17," - ")</f>
        <v>-0.41416666666666663</v>
      </c>
      <c r="J17" s="461">
        <f>IF(ISNUMBER((('Resol  Asuntos'!D17/NºAsuntos!G17)-Datos!BF17)/Datos!BF17),(('Resol  Asuntos'!D17/NºAsuntos!G17)-Datos!BF17)/Datos!BF17," - ")</f>
        <v>-0.39199999999999996</v>
      </c>
      <c r="K17" s="462">
        <f>IF(ISNUMBER((((NºAsuntos!C17+NºAsuntos!E17)/NºAsuntos!G17)-Datos!BG17)/Datos!BG17),(((NºAsuntos!C17+NºAsuntos!E17)/NºAsuntos!G17)-Datos!BG17)/Datos!BG17," - ")</f>
        <v>-0.29671641791044773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5.415162454873646E-3</v>
      </c>
      <c r="C18" s="855">
        <f>IF(ISNUMBER(
   IF(Criterios!B14="SI",(Datos!J18-Datos!T18)/Datos!T18,(Datos!J18+Datos!AD18-(Datos!T18+Datos!AL18))/(Datos!T18+Datos!AL18))
     ),IF(Criterios!B14="SI",(Datos!J18-Datos!T18)/Datos!T18,(Datos!J18+Datos!AD18-(Datos!T18+Datos!AL18))/(Datos!T18+Datos!AL18))," - ")</f>
        <v>4.4673539518900345E-2</v>
      </c>
      <c r="D18" s="855">
        <f>IF(ISNUMBER(
   IF(Criterios!B14="SI",(Datos!K18-Datos!U18)/Datos!U18,(Datos!K18+Datos!AE18-(Datos!U18+Datos!AM18))/(Datos!U18+Datos!AM18))
     ),IF(Criterios!B14="SI",(Datos!K18-Datos!U18)/Datos!U18,(Datos!K18+Datos!AE18-(Datos!U18+Datos!AM18))/(Datos!U18+Datos!AM18))," - ")</f>
        <v>-0.12618296529968454</v>
      </c>
      <c r="E18" s="855">
        <f>IF(ISNUMBER(
   IF(Criterios!B14="SI",(Datos!L18-Datos!V18)/Datos!V18,(Datos!L18+Datos!AF18-(Datos!V18+Datos!AN18))/(Datos!V18+Datos!AN18))
     ),IF(Criterios!B14="SI",(Datos!L18-Datos!V18)/Datos!V18,(Datos!L18+Datos!AF18-(Datos!V18+Datos!AN18))/(Datos!V18+Datos!AN18))," - ")</f>
        <v>0.10169491525423729</v>
      </c>
      <c r="F18" s="856">
        <f>IF(ISNUMBER((Datos!M18-Datos!W18)/Datos!W18),(Datos!M18-Datos!W18)/Datos!W18," - ")</f>
        <v>2.3809523809523808E-2</v>
      </c>
      <c r="G18" s="857">
        <f>IF(ISNUMBER((Datos!N18-Datos!X18)/Datos!X18),(Datos!N18-Datos!X18)/Datos!X18," - ")</f>
        <v>-0.2360248447204969</v>
      </c>
      <c r="H18" s="857">
        <f>IF(ISNUMBER(((NºAsuntos!G18/NºAsuntos!E18)-Datos!BD18)/Datos!BD18),((NºAsuntos!G18/NºAsuntos!E18)-Datos!BD18)/Datos!BD18," - ")</f>
        <v>-0.16355014112568478</v>
      </c>
      <c r="I18" s="857">
        <f>IF(ISNUMBER(((NºAsuntos!I18/NºAsuntos!G18)-Datos!BE18)/Datos!BE18),((NºAsuntos!I18/NºAsuntos!G18)-Datos!BE18)/Datos!BE18," - ")</f>
        <v>0.26078443370250248</v>
      </c>
      <c r="J18" s="857">
        <f>IF(ISNUMBER((('Resol  Asuntos'!D18/NºAsuntos!G18)-Datos!BF18)/Datos!BF18),(('Resol  Asuntos'!D18/NºAsuntos!G18)-Datos!BF18)/Datos!BF18," - ")</f>
        <v>0.1716520543235345</v>
      </c>
      <c r="K18" s="857">
        <f>IF(ISNUMBER((((NºAsuntos!C18+NºAsuntos!E18)/NºAsuntos!G18)-Datos!BG18)/Datos!BG18),(((NºAsuntos!C18+NºAsuntos!E18)/NºAsuntos!G18)-Datos!BG18)/Datos!BG18," - ")</f>
        <v>0.1660735265844959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-8.0239520958083829E-2</v>
      </c>
      <c r="C19" s="802">
        <f>IF(ISNUMBER(
   IF(J_V="SI",(Datos!J19-Datos!T19)/Datos!T19,(Datos!J19+Datos!Z19-(Datos!T19+Datos!AH19))/(Datos!T19+Datos!AH19))
     ),IF(J_V="SI",(Datos!J19-Datos!T19)/Datos!T19,(Datos!J19+Datos!Z19-(Datos!T19+Datos!AH19))/(Datos!T19+Datos!AH19))," - ")</f>
        <v>7.0570570570570576E-2</v>
      </c>
      <c r="D19" s="802">
        <f>IF(ISNUMBER(
   IF(J_V="SI",(Datos!K19-Datos!U19)/Datos!U19,(Datos!K19+Datos!AA19-(Datos!U19+Datos!AI19))/(Datos!U19+Datos!AI19))
     ),IF(J_V="SI",(Datos!K19-Datos!U19)/Datos!U19,(Datos!K19+Datos!AA19-(Datos!U19+Datos!AI19))/(Datos!U19+Datos!AI19))," - ")</f>
        <v>0.21481481481481482</v>
      </c>
      <c r="E19" s="802">
        <f>IF(ISNUMBER(
   IF(J_V="SI",(Datos!L19-Datos!V19)/Datos!V19,(Datos!L19+Datos!AB19-(Datos!V19+Datos!AJ19))/(Datos!V19+Datos!AJ19))
     ),IF(J_V="SI",(Datos!L19-Datos!V19)/Datos!V19,(Datos!L19+Datos!AB19-(Datos!V19+Datos!AJ19))/(Datos!V19+Datos!AJ19))," - ")</f>
        <v>-0.140625</v>
      </c>
      <c r="F19" s="803">
        <f>IF(ISNUMBER((Datos!M19-Datos!W19)/Datos!W19),(Datos!M19-Datos!W19)/Datos!W19," - ")</f>
        <v>0.69565217391304346</v>
      </c>
      <c r="G19" s="804">
        <f>IF(ISNUMBER((Datos!N19-Datos!X19)/Datos!X19),(Datos!N19-Datos!X19)/Datos!X19," - ")</f>
        <v>0.30604982206405695</v>
      </c>
      <c r="H19" s="805">
        <f>IF(ISNUMBER((Tasas!B19-Datos!BD19)/Datos!BD19),(Tasas!B19-Datos!BD19)/Datos!BD19," - ")</f>
        <v>0.13473585787751283</v>
      </c>
      <c r="I19" s="806">
        <f>IF(ISNUMBER((Tasas!C19-Datos!BE19)/Datos!BE19),(Tasas!C19-Datos!BE19)/Datos!BE19," - ")</f>
        <v>-0.29258765243902446</v>
      </c>
      <c r="J19" s="807">
        <f>IF(ISNUMBER((Tasas!D19-Datos!BF19)/Datos!BF19),(Tasas!D19-Datos!BF19)/Datos!BF19," - ")</f>
        <v>-9.1463414634146423E-3</v>
      </c>
      <c r="K19" s="807">
        <f>IF(ISNUMBER((Tasas!E19-Datos!BG19)/Datos!BG19),(Tasas!E19-Datos!BG19)/Datos!BG19," - ")</f>
        <v>-0.20748673989308386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xy+tU98guBS2D7Ql/BeaP6ib3NB39rgGjmJVTbySony9IqtK/lBSbCJM1bUa+5RhSwt8JNBuiHb9Zx+5PTtUg==" saltValue="/JNswbI19lPfQrGmtMfs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v>
      </c>
      <c r="D10" s="444">
        <f>IF(ISNUMBER('Resol  Asuntos'!D10/NºAsuntos!G10),'Resol  Asuntos'!D10/NºAsuntos!G10," - ")</f>
        <v>0.5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1.3358024691358024</v>
      </c>
      <c r="C12" s="443">
        <f>IF(ISNUMBER(NºAsuntos!I12/NºAsuntos!G12),NºAsuntos!I12/NºAsuntos!G12," - ")</f>
        <v>1.55452865064695</v>
      </c>
      <c r="D12" s="444">
        <f>IF(ISNUMBER('Resol  Asuntos'!D12/NºAsuntos!G12),'Resol  Asuntos'!D12/NºAsuntos!G12," - ")</f>
        <v>0.27911275415896486</v>
      </c>
      <c r="E12" s="445">
        <f>IF(ISNUMBER((NºAsuntos!C12+NºAsuntos!E12)/NºAsuntos!G12),(NºAsuntos!C12+NºAsuntos!E12)/NºAsuntos!G12," - ")</f>
        <v>2.55452865064695</v>
      </c>
      <c r="G12" s="463"/>
    </row>
    <row r="13" spans="1:7" ht="14.25" thickTop="1" thickBot="1">
      <c r="A13" s="848" t="str">
        <f>Datos!A13</f>
        <v>TOTAL</v>
      </c>
      <c r="B13" s="858">
        <f>IF(ISNUMBER(NºAsuntos!G13/NºAsuntos!E13),NºAsuntos!G13/NºAsuntos!E13," - ")</f>
        <v>1.3276283618581908</v>
      </c>
      <c r="C13" s="859">
        <f>IF(ISNUMBER(NºAsuntos!I13/NºAsuntos!G13),NºAsuntos!I13/NºAsuntos!G13," - ")</f>
        <v>1.5561694290976058</v>
      </c>
      <c r="D13" s="860">
        <f>IF(ISNUMBER('Resol  Asuntos'!D13/NºAsuntos!G13),'Resol  Asuntos'!D13/NºAsuntos!G13," - ")</f>
        <v>0.27992633517495397</v>
      </c>
      <c r="E13" s="861">
        <f>IF(ISNUMBER((NºAsuntos!C13+NºAsuntos!E13)/NºAsuntos!G13),(NºAsuntos!C13+NºAsuntos!E13)/NºAsuntos!G13," - ")</f>
        <v>2.556169429097606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0.87197231833910038</v>
      </c>
      <c r="C16" s="443">
        <f>IF(ISNUMBER(NºAsuntos!I16/NºAsuntos!G16),NºAsuntos!I16/NºAsuntos!G16," - ")</f>
        <v>2.1746031746031744</v>
      </c>
      <c r="D16" s="444">
        <f>IF(ISNUMBER('Resol  Asuntos'!D16/NºAsuntos!G16),'Resol  Asuntos'!D16/NºAsuntos!G16," - ")</f>
        <v>0.15476190476190477</v>
      </c>
      <c r="E16" s="445">
        <f>IF(ISNUMBER((NºAsuntos!C16+NºAsuntos!E16)/NºAsuntos!G16),(NºAsuntos!C16+NºAsuntos!E16)/NºAsuntos!G16," - ")</f>
        <v>3.1706349206349205</v>
      </c>
      <c r="G16" s="463"/>
    </row>
    <row r="17" spans="1:7" ht="13.5" thickBot="1">
      <c r="A17" s="402" t="str">
        <f>Datos!A17</f>
        <v>Jdos. Violencia contra la mujer</v>
      </c>
      <c r="B17" s="442">
        <f>IF(ISNUMBER(NºAsuntos!G17/NºAsuntos!E17),NºAsuntos!G17/NºAsuntos!E17," - ")</f>
        <v>1.6666666666666667</v>
      </c>
      <c r="C17" s="443">
        <f>IF(ISNUMBER(NºAsuntos!I17/NºAsuntos!G17),NºAsuntos!I17/NºAsuntos!G17," - ")</f>
        <v>1.48</v>
      </c>
      <c r="D17" s="444">
        <f>IF(ISNUMBER('Resol  Asuntos'!D17/NºAsuntos!G17),'Resol  Asuntos'!D17/NºAsuntos!G17," - ")</f>
        <v>0.16</v>
      </c>
      <c r="E17" s="445">
        <f>IF(ISNUMBER((NºAsuntos!C17+NºAsuntos!E17)/NºAsuntos!G17),(NºAsuntos!C17+NºAsuntos!E17)/NºAsuntos!G17," - ")</f>
        <v>2.48</v>
      </c>
      <c r="G17" s="463"/>
    </row>
    <row r="18" spans="1:7" ht="14.25" thickTop="1" thickBot="1">
      <c r="A18" s="848" t="str">
        <f>Datos!A18</f>
        <v>TOTAL</v>
      </c>
      <c r="B18" s="858">
        <f>IF(ISNUMBER(NºAsuntos!G18/NºAsuntos!E18),NºAsuntos!G18/NºAsuntos!E18," - ")</f>
        <v>0.91118421052631582</v>
      </c>
      <c r="C18" s="859">
        <f>IF(ISNUMBER(NºAsuntos!I18/NºAsuntos!G18),NºAsuntos!I18/NºAsuntos!G18," - ")</f>
        <v>2.1119133574007218</v>
      </c>
      <c r="D18" s="862">
        <f>IF(ISNUMBER('Resol  Asuntos'!D18/NºAsuntos!G18),'Resol  Asuntos'!D18/NºAsuntos!G18," - ")</f>
        <v>0.1552346570397112</v>
      </c>
      <c r="E18" s="861">
        <f>IF(ISNUMBER((NºAsuntos!C18+NºAsuntos!E18)/NºAsuntos!G18),(NºAsuntos!C18+NºAsuntos!E18)/NºAsuntos!G18," - ")</f>
        <v>3.1083032490974731</v>
      </c>
      <c r="G18" s="463"/>
    </row>
    <row r="19" spans="1:7" ht="15.75" customHeight="1" thickTop="1" thickBot="1">
      <c r="A19" s="793" t="str">
        <f>Datos!A19</f>
        <v>TOTAL JURISDICCIONES</v>
      </c>
      <c r="B19" s="808">
        <f>IF(ISNUMBER(NºAsuntos!G19/NºAsuntos!E19),NºAsuntos!G19/NºAsuntos!E19," - ")</f>
        <v>1.1500701262272091</v>
      </c>
      <c r="C19" s="809">
        <f>IF(ISNUMBER(NºAsuntos!I19/NºAsuntos!G19),NºAsuntos!I19/NºAsuntos!G19," - ")</f>
        <v>1.7439024390243902</v>
      </c>
      <c r="D19" s="810">
        <f>IF(ISNUMBER('Resol  Asuntos'!D19/NºAsuntos!G19),'Resol  Asuntos'!D19/NºAsuntos!G19," - ")</f>
        <v>0.23780487804878048</v>
      </c>
      <c r="E19" s="811">
        <f>IF(ISNUMBER((NºAsuntos!C19+NºAsuntos!E19)/NºAsuntos!G19),(NºAsuntos!C19+NºAsuntos!E19)/NºAsuntos!G19," - ")</f>
        <v>2.7426829268292683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hdX4Y1GyUHog9755Y67I3Hj/Ry7rI/YvnQ92+olrNvDViBkeKwwYQXJiCLyRGEY/UeytOFHest6iWcfqWIIHA==" saltValue="qyit+jUrYDOfPUna1pmf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5</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6</v>
      </c>
      <c r="AN10" s="244">
        <f>IF(ISNUMBER('Resol  Asuntos'!D10/NºAsuntos!G10),'Resol  Asuntos'!D10/NºAsuntos!G10," - ")</f>
        <v>0.5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115</v>
      </c>
      <c r="Y12" s="334">
        <f t="shared" si="0"/>
        <v>115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1.3358024691358024</v>
      </c>
      <c r="AM12" s="260">
        <f>IF(ISNUMBER(((NºAsuntos!I12/NºAsuntos!G12)*11)/factor_trimestre),((NºAsuntos!I12/NºAsuntos!G12)*11)/factor_trimestre," - ")</f>
        <v>4.66358595194085</v>
      </c>
      <c r="AN12" s="244">
        <f>IF(ISNUMBER('Resol  Asuntos'!D12/NºAsuntos!G12),'Resol  Asuntos'!D12/NºAsuntos!G12," - ")</f>
        <v>0.27911275415896486</v>
      </c>
      <c r="AO12" s="245">
        <f>IF(ISNUMBER((NºAsuntos!C12+NºAsuntos!E12)/NºAsuntos!G12),(NºAsuntos!C12+NºAsuntos!E12)/NºAsuntos!G12," - ")</f>
        <v>2.55452865064695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115</v>
      </c>
      <c r="Y13" s="868">
        <f t="shared" si="4"/>
        <v>117</v>
      </c>
      <c r="Z13" s="868">
        <f t="shared" si="4"/>
        <v>0</v>
      </c>
      <c r="AA13" s="868">
        <f t="shared" si="4"/>
        <v>4</v>
      </c>
      <c r="AB13" s="868">
        <f t="shared" si="4"/>
        <v>1492</v>
      </c>
      <c r="AC13" s="868">
        <f t="shared" si="4"/>
        <v>9</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1.3276283618581908</v>
      </c>
      <c r="AM13" s="874">
        <f>IF(ISNUMBER(((NºAsuntos!I13/NºAsuntos!G13)*11)/factor_trimestre),((NºAsuntos!I13/NºAsuntos!G13)*11)/factor_trimestre," - ")</f>
        <v>4.6685082872928181</v>
      </c>
      <c r="AN13" s="875">
        <f>IF(ISNUMBER('Resol  Asuntos'!D13/NºAsuntos!G13),'Resol  Asuntos'!D13/NºAsuntos!G13," - ")</f>
        <v>0.27992633517495397</v>
      </c>
      <c r="AO13" s="876">
        <f>IF(ISNUMBER((NºAsuntos!C13+NºAsuntos!E13)/NºAsuntos!G13),(NºAsuntos!C13+NºAsuntos!E13)/NºAsuntos!G13," - ")</f>
        <v>2.556169429097606</v>
      </c>
      <c r="AP13" s="877" t="str">
        <f t="shared" si="2"/>
        <v xml:space="preserve"> - </v>
      </c>
      <c r="AQ13" s="877">
        <f>IF(ISNUMBER((H13-W13+K13)/(F13)),(H13-W13+K13)/(F13)," - ")</f>
        <v>-1</v>
      </c>
      <c r="AR13" s="878">
        <f>IF(ISNUMBER((Datos!P13-Datos!Q13)/(Datos!R13-Datos!P13+Datos!Q13)),(Datos!P13-Datos!Q13)/(Datos!R13-Datos!P13+Datos!Q13)," - ")</f>
        <v>-4.6697798532354907E-3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511</v>
      </c>
      <c r="G16" s="333">
        <f>IF(ISNUMBER(IF(D_I="SI",Datos!I16,Datos!I16+Datos!AC16)),IF(D_I="SI",Datos!I16,Datos!I16+Datos!AC16)," - ")</f>
        <v>510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252</v>
      </c>
      <c r="X16" s="226">
        <f>IF(ISNUMBER(Datos!Q16),Datos!Q16," - ")</f>
        <v>8</v>
      </c>
      <c r="Y16" s="334">
        <f t="shared" ref="Y16:Y17" si="7">SUM(W16:X16)</f>
        <v>260</v>
      </c>
      <c r="Z16" s="335" t="str">
        <f>IF(ISNUMBER(Datos!CC16),Datos!CC16," - ")</f>
        <v xml:space="preserve"> - </v>
      </c>
      <c r="AA16" s="332">
        <f>IF(ISNUMBER(IF(D_I="SI",Datos!L16,Datos!L16+Datos!AF16)),IF(D_I="SI",Datos!L16,Datos!L16+Datos!AF16)," - ")</f>
        <v>548</v>
      </c>
      <c r="AB16" s="334">
        <f>IF(ISNUMBER(Datos!R16),Datos!R16," - ")</f>
        <v>62</v>
      </c>
      <c r="AC16" s="334">
        <f t="shared" si="6"/>
        <v>610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0.87197231833910038</v>
      </c>
      <c r="AM16" s="260">
        <f>IF(ISNUMBER(((NºAsuntos!I16/NºAsuntos!G16)*11)/factor_trimestre),((NºAsuntos!I16/NºAsuntos!G16)*11)/factor_trimestre," - ")</f>
        <v>6.5238095238095228</v>
      </c>
      <c r="AN16" s="244">
        <f>IF(ISNUMBER('Resol  Asuntos'!D16/NºAsuntos!G16),'Resol  Asuntos'!D16/NºAsuntos!G16," - ")</f>
        <v>0.15476190476190477</v>
      </c>
      <c r="AO16" s="245">
        <f>IF(ISNUMBER((NºAsuntos!C16+NºAsuntos!E16)/NºAsuntos!G16),(NºAsuntos!C16+NºAsuntos!E16)/NºAsuntos!G16," - ")</f>
        <v>3.1706349206349205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1.6666666666666667</v>
      </c>
      <c r="AM17" s="260">
        <f>IF(ISNUMBER(((NºAsuntos!I17/NºAsuntos!G17)*11)/factor_trimestre),((NºAsuntos!I17/NºAsuntos!G17)*11)/factor_trimestre," - ")</f>
        <v>4.4400000000000004</v>
      </c>
      <c r="AN17" s="244">
        <f>IF(ISNUMBER('Resol  Asuntos'!D17/NºAsuntos!G17),'Resol  Asuntos'!D17/NºAsuntos!G17," - ")</f>
        <v>0.16</v>
      </c>
      <c r="AO17" s="245">
        <f>IF(ISNUMBER((NºAsuntos!C17+NºAsuntos!E17)/NºAsuntos!G17),(NºAsuntos!C17+NºAsuntos!E17)/NºAsuntos!G17," - ")</f>
        <v>2.48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511</v>
      </c>
      <c r="G18" s="866">
        <f>SUBTOTAL(9,G15:G17)</f>
        <v>557</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v>
      </c>
      <c r="X18" s="867">
        <f t="shared" si="11"/>
        <v>8</v>
      </c>
      <c r="Y18" s="868">
        <f t="shared" si="11"/>
        <v>285</v>
      </c>
      <c r="Z18" s="868">
        <f t="shared" si="11"/>
        <v>0</v>
      </c>
      <c r="AA18" s="868">
        <f t="shared" si="11"/>
        <v>585</v>
      </c>
      <c r="AB18" s="868">
        <f t="shared" si="11"/>
        <v>62</v>
      </c>
      <c r="AC18" s="868">
        <f t="shared" si="11"/>
        <v>647</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0.91118421052631582</v>
      </c>
      <c r="AM18" s="874">
        <f>IF(ISNUMBER(((NºAsuntos!I18/NºAsuntos!G18)*11)/factor_trimestre),((NºAsuntos!I18/NºAsuntos!G18)*11)/factor_trimestre," - ")</f>
        <v>6.3357400722021655</v>
      </c>
      <c r="AN18" s="875">
        <f>IF(ISNUMBER('Resol  Asuntos'!D18/NºAsuntos!G18),'Resol  Asuntos'!D18/NºAsuntos!G18," - ")</f>
        <v>0.1552346570397112</v>
      </c>
      <c r="AO18" s="876">
        <f>IF(ISNUMBER((NºAsuntos!C18+NºAsuntos!E18)/NºAsuntos!G18),(NºAsuntos!C18+NºAsuntos!E18)/NºAsuntos!G18," - ")</f>
        <v>3.1083032490974731</v>
      </c>
      <c r="AP18" s="877" t="str">
        <f t="shared" si="2"/>
        <v xml:space="preserve"> - </v>
      </c>
      <c r="AQ18" s="877">
        <f>IF(ISNUMBER((H18-W18+K18)/(F18)),(H18-W18+K18)/(F18)," - ")</f>
        <v>-0.54207436399217224</v>
      </c>
      <c r="AR18" s="878">
        <f>IF(ISNUMBER((Datos!P18-Datos!Q18)/(Datos!R18-Datos!P18+Datos!Q18)),(Datos!P18-Datos!Q18)/(Datos!R18-Datos!P18+Datos!Q18)," - ")</f>
        <v>-4.6153846153846156E-2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513</v>
      </c>
      <c r="G19" s="821">
        <f t="shared" si="13"/>
        <v>559</v>
      </c>
      <c r="H19" s="820">
        <f t="shared" si="13"/>
        <v>0</v>
      </c>
      <c r="I19" s="822">
        <f t="shared" si="13"/>
        <v>0</v>
      </c>
      <c r="J19" s="822">
        <f t="shared" si="13"/>
        <v>0</v>
      </c>
      <c r="K19" s="881">
        <f t="shared" si="13"/>
        <v>0</v>
      </c>
      <c r="L19" s="822">
        <f t="shared" si="13"/>
        <v>113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279</v>
      </c>
      <c r="X19" s="821">
        <f t="shared" si="14"/>
        <v>123</v>
      </c>
      <c r="Y19" s="828">
        <f t="shared" si="14"/>
        <v>402</v>
      </c>
      <c r="Z19" s="828">
        <f t="shared" si="14"/>
        <v>0</v>
      </c>
      <c r="AA19" s="828">
        <f t="shared" si="14"/>
        <v>589</v>
      </c>
      <c r="AB19" s="828">
        <f t="shared" si="14"/>
        <v>1554</v>
      </c>
      <c r="AC19" s="828">
        <f t="shared" si="14"/>
        <v>656</v>
      </c>
      <c r="AD19" s="828">
        <f t="shared" si="14"/>
        <v>0</v>
      </c>
      <c r="AE19" s="830">
        <f t="shared" si="14"/>
        <v>0</v>
      </c>
      <c r="AF19" s="831">
        <f t="shared" si="14"/>
        <v>0</v>
      </c>
      <c r="AG19" s="832">
        <f t="shared" si="14"/>
        <v>0</v>
      </c>
      <c r="AH19" s="830">
        <f t="shared" si="14"/>
        <v>0</v>
      </c>
      <c r="AI19" s="820">
        <f t="shared" si="14"/>
        <v>195</v>
      </c>
      <c r="AJ19" s="820">
        <f t="shared" si="14"/>
        <v>0</v>
      </c>
      <c r="AK19" s="830">
        <f t="shared" si="14"/>
        <v>0</v>
      </c>
      <c r="AL19" s="884">
        <f>IF(ISNUMBER(NºAsuntos!G19/NºAsuntos!E19),NºAsuntos!G19/NºAsuntos!E19," - ")</f>
        <v>1.1500701262272091</v>
      </c>
      <c r="AM19" s="885">
        <f>IF(ISNUMBER(((NºAsuntos!I19/NºAsuntos!G19)*11)/factor_trimestre),((NºAsuntos!I19/NºAsuntos!G19)*11)/factor_trimestre," - ")</f>
        <v>5.2317073170731714</v>
      </c>
      <c r="AN19" s="885">
        <f>IF(ISNUMBER('Resol  Asuntos'!D19/NºAsuntos!G19),'Resol  Asuntos'!D19/NºAsuntos!G19," - ")</f>
        <v>0.23780487804878048</v>
      </c>
      <c r="AO19" s="886">
        <f>IF(ISNUMBER((NºAsuntos!C19+NºAsuntos!E19)/NºAsuntos!G19),(NºAsuntos!C19+NºAsuntos!E19)/NºAsuntos!G19," - ")</f>
        <v>2.7426829268292683</v>
      </c>
      <c r="AP19" s="887" t="str">
        <f t="shared" si="2"/>
        <v xml:space="preserve"> - </v>
      </c>
      <c r="AQ19" s="888">
        <f>IF(OR(ISNUMBER(FIND("01",Criterios!A8,1)),ISNUMBER(FIND("02",Criterios!A8,1)),ISNUMBER(FIND("03",Criterios!A8,1)),ISNUMBER(FIND("04",Criterios!A8,1))),(I19-W19+K19)/(F19-K19),(H19-W19+K19)/(F19-K19))</f>
        <v>-0.54385964912280704</v>
      </c>
      <c r="AR19" s="889">
        <f>IF(ISNUMBER((Datos!P19-Datos!Q19)/(Datos!R19-Datos!P19+Datos!Q19)),(Datos!P19-Datos!Q19)/(Datos!R19-Datos!P19+Datos!Q19)," - ")</f>
        <v>-6.3938618925831201E-3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293.87128701751948</v>
      </c>
      <c r="G21" s="253">
        <f>IF(ISNUMBER(STDEV(G8:G18)),STDEV(G8:G18),"-")</f>
        <v>283.9811613470161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140.17239385841992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69.198265874225484</v>
      </c>
      <c r="AJ21" s="252">
        <f t="shared" si="18"/>
        <v>0</v>
      </c>
      <c r="AK21" s="254">
        <f t="shared" si="18"/>
        <v>0</v>
      </c>
      <c r="AL21" s="249">
        <f t="shared" si="18"/>
        <v>0.41860418880821465</v>
      </c>
      <c r="AM21" s="250">
        <f t="shared" si="18"/>
        <v>0.94748086630463035</v>
      </c>
      <c r="AN21" s="250">
        <f t="shared" si="18"/>
        <v>0.13435281277036348</v>
      </c>
      <c r="AO21" s="251">
        <f t="shared" si="18"/>
        <v>0.31423636557567058</v>
      </c>
      <c r="AP21" s="291" t="str">
        <f t="shared" si="18"/>
        <v>-</v>
      </c>
      <c r="AQ21" s="292">
        <f t="shared" si="18"/>
        <v>0.32380232250029739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R84TrpFhRrJC3UEY3xZ0mIucNizY9PxDyNu3qc3mAY5W60m9pRvBzlvDHwa0sOZ0EJPxU9Ym5PnY1AwjfuPlA==" saltValue="Z6YvRRKuVtk/8rnO25GW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1.0684931506849316</v>
      </c>
      <c r="I12" s="350">
        <f>IF(ISNUMBER((Tasas!C12-Datos!BE12)/Datos!BE12),(Tasas!C12-Datos!BE12)/Datos!BE12," - ")</f>
        <v>-0.50880736369672719</v>
      </c>
      <c r="J12" s="349">
        <f>IF(ISNUMBER((Tasas!D12-Datos!BF12)/Datos!BF12),(Tasas!D12-Datos!BF12)/Datos!BF12," - ")</f>
        <v>-0.16731361675908812</v>
      </c>
      <c r="K12" s="351">
        <f>IF(ISNUMBER((Tasas!E12-Datos!BG12)/Datos!BG12),(Tasas!E12-Datos!BG12)/Datos!BG12," - ")</f>
        <v>-0.38663899602172491</v>
      </c>
      <c r="M12" t="e">
        <f>IF(Monitorios="SI",Datos!CE12,0)</f>
        <v>#REF!</v>
      </c>
      <c r="N12" t="e">
        <f>IF(Monitorios="SI",Datos!CF12,0)</f>
        <v>#REF!</v>
      </c>
      <c r="O12" t="e">
        <f>IF(Monitorios="SI",Datos!CG12,0)</f>
        <v>#REF!</v>
      </c>
      <c r="P12" t="e">
        <f>IF(Monitorios="SI",Datos!CH12,0)</f>
        <v>#REF!</v>
      </c>
      <c r="Q12">
        <f>IF(J_V="SI",0,Datos!AG12)</f>
        <v>39</v>
      </c>
      <c r="R12">
        <f>IF(J_V="SI",0,Datos!AH12)</f>
        <v>32</v>
      </c>
      <c r="S12">
        <f>IF(J_V="SI",0,Datos!AI12)</f>
        <v>46</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1.0821917808219179</v>
      </c>
      <c r="I13" s="357">
        <f>IF(ISNUMBER((Tasas!C13-Datos!BE13)/Datos!BE13),(Tasas!C13-Datos!BE13)/Datos!BE13," - ")</f>
        <v>-0.50828891825512545</v>
      </c>
      <c r="J13" s="355">
        <f>IF(ISNUMBER((Tasas!D13-Datos!BF13)/Datos!BF13),(Tasas!D13-Datos!BF13)/Datos!BF13," - ")</f>
        <v>-0.16488643339472062</v>
      </c>
      <c r="K13" s="358">
        <f>IF(ISNUMBER((Tasas!E13-Datos!BG13)/Datos!BG13),(Tasas!E13-Datos!BG13)/Datos!BG13," - ")</f>
        <v>-0.38624503312076258</v>
      </c>
      <c r="M13" t="e">
        <f>IF(Monitorios="SI",Datos!CE13,0)</f>
        <v>#REF!</v>
      </c>
      <c r="N13" t="e">
        <f>IF(Monitorios="SI",Datos!CF13,0)</f>
        <v>#REF!</v>
      </c>
      <c r="O13" t="e">
        <f>IF(Monitorios="SI",Datos!CG13,0)</f>
        <v>#REF!</v>
      </c>
      <c r="P13" t="e">
        <f>IF(Monitorios="SI",Datos!CH13,0)</f>
        <v>#REF!</v>
      </c>
      <c r="Q13">
        <f>IF(J_V="SI",0,Datos!AG13)</f>
        <v>39</v>
      </c>
      <c r="R13">
        <f>IF(J_V="SI",0,Datos!AH13)</f>
        <v>32</v>
      </c>
      <c r="S13">
        <f>IF(J_V="SI",0,Datos!AI13)</f>
        <v>46</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3.937007874015748E-3</v>
      </c>
      <c r="E16" s="348">
        <f>IF(ISNUMBER(
   IF(D_I="SI",(Datos!J16-Datos!T16)/Datos!T16,(Datos!J16+Datos!AD16-(Datos!T16+Datos!AL16))/(Datos!T16+Datos!AL16))
     ),IF(D_I="SI",(Datos!J16-Datos!T16)/Datos!T16,(Datos!J16+Datos!AD16-(Datos!T16+Datos!AL16))/(Datos!T16+Datos!AL16))," - ")</f>
        <v>7.0370370370370375E-2</v>
      </c>
      <c r="F16" s="348">
        <f>IF(ISNUMBER(
   IF(D_I="SI",(Datos!K16-Datos!U16)/Datos!U16,(Datos!K16+Datos!AE16-(Datos!U16+Datos!AM16))/(Datos!U16+Datos!AM16))
     ),IF(D_I="SI",(Datos!K16-Datos!U16)/Datos!U16,(Datos!K16+Datos!AE16-(Datos!U16+Datos!AM16))/(Datos!U16+Datos!AM16))," - ")</f>
        <v>-0.15436241610738255</v>
      </c>
      <c r="G16" s="349">
        <f>IF(ISNUMBER(
   IF(D_I="SI",(Datos!L16-Datos!V16)/Datos!V16,(Datos!L16+Datos!AF16-(Datos!V16+Datos!AN16))/(Datos!V16+Datos!AN16))
     ),IF(D_I="SI",(Datos!L16-Datos!V16)/Datos!V16,(Datos!L16+Datos!AF16-(Datos!V16+Datos!AN16))/(Datos!V16+Datos!AN16))," - ")</f>
        <v>0.13457556935817805</v>
      </c>
      <c r="H16" s="230">
        <f>IF(ISNUMBER((Datos!M16-Datos!W16)/Datos!W16),(Datos!M16-Datos!W16)/Datos!W16," - ")</f>
        <v>5.4054054054054057E-2</v>
      </c>
      <c r="I16" s="350">
        <f>IF(ISNUMBER((Tasas!C16-Datos!BE16)/Datos!BE16),(Tasas!C16-Datos!BE16)/Datos!BE16," - ")</f>
        <v>0.34168063360609929</v>
      </c>
      <c r="J16" s="349">
        <f>IF(ISNUMBER((Tasas!D16-Datos!BF16)/Datos!BF16),(Tasas!D16-Datos!BF16)/Datos!BF16," - ")</f>
        <v>0.2464607464607465</v>
      </c>
      <c r="K16" s="351">
        <f>IF(ISNUMBER((Tasas!E16-Datos!BG16)/Datos!BG16),(Tasas!E16-Datos!BG16)/Datos!BG16," - ")</f>
        <v>0.21445913412494388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2.1739130434782608E-2</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0.31578947368421051</v>
      </c>
      <c r="G17" s="349">
        <f>IF(ISNUMBER(
   IF(D_I="SI",(Datos!L17-Datos!V17)/Datos!V17,(Datos!L17+Datos!AF17-(Datos!V17+Datos!AN17))/(Datos!V17+Datos!AN17))
     ),IF(D_I="SI",(Datos!L17-Datos!V17)/Datos!V17,(Datos!L17+Datos!AF17-(Datos!V17+Datos!AN17))/(Datos!V17+Datos!AN17))," - ")</f>
        <v>-0.22916666666666666</v>
      </c>
      <c r="H17" s="230">
        <f>IF(ISNUMBER((Datos!M17-Datos!W17)/Datos!W17),(Datos!M17-Datos!W17)/Datos!W17," - ")</f>
        <v>-0.2</v>
      </c>
      <c r="I17" s="350">
        <f>IF(ISNUMBER((Tasas!C17-Datos!BE17)/Datos!BE17),(Tasas!C17-Datos!BE17)/Datos!BE17," - ")</f>
        <v>-0.41416666666666663</v>
      </c>
      <c r="J17" s="349">
        <f>IF(ISNUMBER((Tasas!D17-Datos!BF17)/Datos!BF17),(Tasas!D17-Datos!BF17)/Datos!BF17," - ")</f>
        <v>-0.39199999999999996</v>
      </c>
      <c r="K17" s="351">
        <f>IF(ISNUMBER((Tasas!E17-Datos!BG17)/Datos!BG17),(Tasas!E17-Datos!BG17)/Datos!BG17," - ")</f>
        <v>-0.29671641791044773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5.415162454873646E-3</v>
      </c>
      <c r="E18" s="354">
        <f>IF(ISNUMBER(
   IF(D_I="SI",(Datos!J18-Datos!T18)/Datos!T18,(Datos!J18+Datos!AD18-(Datos!T18+Datos!AL18))/(Datos!T18+Datos!AL18))
     ),IF(D_I="SI",(Datos!J18-Datos!T18)/Datos!T18,(Datos!J18+Datos!AD18-(Datos!T18+Datos!AL18))/(Datos!T18+Datos!AL18))," - ")</f>
        <v>4.4673539518900345E-2</v>
      </c>
      <c r="F18" s="354">
        <f>IF(ISNUMBER(
   IF(D_I="SI",(Datos!K18-Datos!U18)/Datos!U18,(Datos!K18+Datos!AE18-(Datos!U18+Datos!AM18))/(Datos!U18+Datos!AM18))
     ),IF(D_I="SI",(Datos!K18-Datos!U18)/Datos!U18,(Datos!K18+Datos!AE18-(Datos!U18+Datos!AM18))/(Datos!U18+Datos!AM18))," - ")</f>
        <v>-0.12618296529968454</v>
      </c>
      <c r="G18" s="355">
        <f>IF(ISNUMBER(
   IF(D_I="SI",(Datos!L18-Datos!V18)/Datos!V18,(Datos!L18+Datos!AF18-(Datos!V18+Datos!AN18))/(Datos!V18+Datos!AN18))
     ),IF(D_I="SI",(Datos!L18-Datos!V18)/Datos!V18,(Datos!L18+Datos!AF18-(Datos!V18+Datos!AN18))/(Datos!V18+Datos!AN18))," - ")</f>
        <v>0.10169491525423729</v>
      </c>
      <c r="H18" s="356">
        <f>IF(ISNUMBER((Datos!M18-Datos!W18)/Datos!W18),(Datos!M18-Datos!W18)/Datos!W18," - ")</f>
        <v>2.3809523809523808E-2</v>
      </c>
      <c r="I18" s="357">
        <f>IF(ISNUMBER((Tasas!C18-Datos!BE18)/Datos!BE18),(Tasas!C18-Datos!BE18)/Datos!BE18," - ")</f>
        <v>0.26078443370250248</v>
      </c>
      <c r="J18" s="355">
        <f>IF(ISNUMBER((Tasas!D18-Datos!BF18)/Datos!BF18),(Tasas!D18-Datos!BF18)/Datos!BF18," - ")</f>
        <v>0.1716520543235345</v>
      </c>
      <c r="K18" s="358">
        <f>IF(ISNUMBER((Tasas!E18-Datos!BG18)/Datos!BG18),(Tasas!E18-Datos!BG18)/Datos!BG18," - ")</f>
        <v>0.1660735265844959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-8.0239520958083829E-2</v>
      </c>
      <c r="E19" s="363">
        <f>IF(ISNUMBER(
   IF(J_V="SI",(Datos!J19-Datos!T19)/Datos!T19,(Datos!J19+Datos!Z19-(Datos!T19+Datos!AH19))/(Datos!T19+Datos!AH19))
     ),IF(J_V="SI",(Datos!J19-Datos!T19)/Datos!T19,(Datos!J19+Datos!Z19-(Datos!T19+Datos!AH19))/(Datos!T19+Datos!AH19))," - ")</f>
        <v>7.0570570570570576E-2</v>
      </c>
      <c r="F19" s="363">
        <f>IF(ISNUMBER(
   IF(J_V="SI",(Datos!K19-Datos!U19)/Datos!U19,(Datos!K19+Datos!AA19-(Datos!U19+Datos!AI19))/(Datos!U19+Datos!AI19))
     ),IF(J_V="SI",(Datos!K19-Datos!U19)/Datos!U19,(Datos!K19+Datos!AA19-(Datos!U19+Datos!AI19))/(Datos!U19+Datos!AI19))," - ")</f>
        <v>0.21481481481481482</v>
      </c>
      <c r="G19" s="364">
        <f>IF(ISNUMBER(
   IF(J_V="SI",(Datos!L19-Datos!V19)/Datos!V19,(Datos!L19+Datos!AB19-(Datos!V19+Datos!AJ19))/(Datos!V19+Datos!AJ19))
     ),IF(J_V="SI",(Datos!L19-Datos!V19)/Datos!V19,(Datos!L19+Datos!AB19-(Datos!V19+Datos!AJ19))/(Datos!V19+Datos!AJ19))," - ")</f>
        <v>-0.140625</v>
      </c>
      <c r="H19" s="365">
        <f>IF(ISNUMBER((Datos!M19-Datos!W19)/Datos!W19),(Datos!M19-Datos!W19)/Datos!W19," - ")</f>
        <v>0.69565217391304346</v>
      </c>
      <c r="I19" s="362">
        <f>IF(ISNUMBER((Tasas!C19-Datos!BE19)/Datos!BE19),(Tasas!C19-Datos!BE19)/Datos!BE19," - ")</f>
        <v>-0.29258765243902446</v>
      </c>
      <c r="J19" s="363">
        <f>IF(ISNUMBER((Tasas!D19-Datos!BF19)/Datos!BF19),(Tasas!D19-Datos!BF19)/Datos!BF19," - ")</f>
        <v>-9.1463414634146423E-3</v>
      </c>
      <c r="K19" s="364">
        <f>IF(ISNUMBER((Tasas!E19-Datos!BG19)/Datos!BG19),(Tasas!E19-Datos!BG19)/Datos!BG19," - ")</f>
        <v>-0.20748673989308386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9.8790387457701623E-3</v>
      </c>
      <c r="E21" s="278">
        <f t="shared" si="1"/>
        <v>0.19858361986706891</v>
      </c>
      <c r="F21" s="278">
        <f t="shared" si="1"/>
        <v>0.26368431812295379</v>
      </c>
      <c r="G21" s="279">
        <f t="shared" si="1"/>
        <v>0.20118769763327141</v>
      </c>
      <c r="H21" s="285">
        <f t="shared" si="1"/>
        <v>0.61913318170427678</v>
      </c>
      <c r="I21" s="277">
        <f t="shared" si="1"/>
        <v>0.42899579723494835</v>
      </c>
      <c r="J21" s="278">
        <f t="shared" si="1"/>
        <v>0.26472383191016063</v>
      </c>
      <c r="K21" s="279">
        <f t="shared" si="1"/>
        <v>0.30221094665784393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0yGKFs752cdH5d5eowPlJ0geCiPZesRyMLnGM13Qe5gj9FKt69PaxlGAUo9u1pitOLT8FbFkiz6Y5Ml+ii6sA==" saltValue="efHBFA4yD6DlQj3dxjis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4</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17.099815157116449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511</v>
      </c>
      <c r="D16" s="225">
        <f>IF(ISNUMBER(IF(D_I="SI",Datos!I16,Datos!I16+Datos!AC16)),IF(D_I="SI",Datos!I16,Datos!I16+Datos!AC16)," - ")</f>
        <v>510</v>
      </c>
      <c r="E16" s="226">
        <f>IF(ISNUMBER(IF(D_I="SI",Datos!J16,Datos!J16+Datos!AD16)),IF(D_I="SI",Datos!J16,Datos!J16+Datos!AD16)," - ")</f>
        <v>289</v>
      </c>
      <c r="F16" s="226">
        <f>IF(ISNUMBER(IF(D_I="SI",Datos!K16,Datos!K16+Datos!AE16)),IF(D_I="SI",Datos!K16,Datos!K16+Datos!AE16)," - ")</f>
        <v>252</v>
      </c>
      <c r="G16" s="1034" t="str">
        <f>IF(Datos!E16&lt;&gt;"",Datos!E16,Datos!D16)</f>
        <v>04</v>
      </c>
      <c r="H16" s="227">
        <f>IF(ISNUMBER(IF(D_I="SI",Datos!L16,Datos!L16+Datos!AF16)),IF(D_I="SI",Datos!L16,Datos!L16+Datos!AF16)," - ")</f>
        <v>548</v>
      </c>
      <c r="I16" s="1044" t="str">
        <f>IF(ISNUMBER(Datos!AS16/Datos!BM16),Datos!AS16/Datos!BM16," - ")</f>
        <v xml:space="preserve"> - </v>
      </c>
      <c r="J16" s="1045">
        <f>IF(ISNUMBER(Datos!BY16/Datos!CN16),Datos!BY16/Datos!CN16," - ")</f>
        <v>0</v>
      </c>
      <c r="K16" s="230">
        <f t="shared" si="3"/>
        <v>7.2407045009784732E-2</v>
      </c>
      <c r="L16" s="1025">
        <f>IF(ISNUMBER(NºAsuntos!I16/NºAsuntos!G16),(NºAsuntos!I16/NºAsuntos!G16)*11," - ")</f>
        <v>23.920634920634917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15</v>
      </c>
      <c r="F17" s="226">
        <f>IF(ISNUMBER(IF(D_I="SI",Datos!K17,Datos!K17+Datos!AE17)),IF(D_I="SI",Datos!K17,Datos!K17+Datos!AE17)," - ")</f>
        <v>25</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-0.21276595744680851</v>
      </c>
      <c r="L17" s="1025">
        <f>IF(ISNUMBER(NºAsuntos!I17/NºAsuntos!G17),(NºAsuntos!I17/NºAsuntos!G17)*11," - ")</f>
        <v>16.28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558</v>
      </c>
      <c r="D18" s="1049">
        <f>SUBTOTAL(9,D15:D17)</f>
        <v>557</v>
      </c>
      <c r="E18" s="1050">
        <f>SUBTOTAL(9,E15:E17)</f>
        <v>304</v>
      </c>
      <c r="F18" s="1050">
        <f>SUBTOTAL(9,F15:F17)</f>
        <v>277</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560</v>
      </c>
      <c r="D19" s="1071">
        <f>SUBTOTAL(9,D9:D18)</f>
        <v>559</v>
      </c>
      <c r="E19" s="1072">
        <f>SUBTOTAL(9,E9:E18)</f>
        <v>308</v>
      </c>
      <c r="F19" s="1072">
        <f>SUBTOTAL(9,F9:F18)</f>
        <v>279</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p32cweVxC07MvQbjNWU1/pZx3v9qnX/Qu+HJknChLcilMUQD/Eq35virWkRSyDSxP3X2M83tgD5GwAfp8LkUw==" saltValue="s3vDHtL8NFu/iJAOZotx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DnCvToDhniNKNWBFjoa5sVyq+sWbrMYIX++bgx6RqwaFGbdPKpDyAQiLCVlrzeXw8z4e5O0bXLCYbsd5SLOYg==" saltValue="n4pU/RAOJW/aaoFAtIRw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4</v>
      </c>
      <c r="K10" s="181">
        <v>2</v>
      </c>
      <c r="L10" s="181">
        <v>4</v>
      </c>
      <c r="M10" s="181">
        <v>1</v>
      </c>
      <c r="N10" s="181">
        <v>1</v>
      </c>
      <c r="O10" s="181">
        <v>0</v>
      </c>
      <c r="P10" s="181">
        <v>3</v>
      </c>
      <c r="Q10" s="181">
        <v>0</v>
      </c>
      <c r="R10" s="181">
        <v>5</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960</v>
      </c>
      <c r="J12" s="183">
        <v>376</v>
      </c>
      <c r="K12" s="183">
        <v>518</v>
      </c>
      <c r="L12" s="183">
        <v>818</v>
      </c>
      <c r="M12" s="183">
        <v>151</v>
      </c>
      <c r="N12" s="183">
        <v>243</v>
      </c>
      <c r="O12" s="181">
        <v>184</v>
      </c>
      <c r="P12" s="183">
        <v>105</v>
      </c>
      <c r="Q12" s="183">
        <v>115</v>
      </c>
      <c r="R12" s="183">
        <v>1487</v>
      </c>
      <c r="S12" s="183">
        <v>1077</v>
      </c>
      <c r="T12" s="183">
        <v>343</v>
      </c>
      <c r="U12" s="183">
        <v>312</v>
      </c>
      <c r="V12" s="183">
        <v>1108</v>
      </c>
      <c r="W12" s="183">
        <v>73</v>
      </c>
      <c r="X12" s="189">
        <v>120</v>
      </c>
      <c r="Y12" s="191">
        <v>17</v>
      </c>
      <c r="Z12" s="181">
        <v>29</v>
      </c>
      <c r="AA12" s="181">
        <v>23</v>
      </c>
      <c r="AB12" s="181">
        <v>23</v>
      </c>
      <c r="AC12" s="183">
        <v>0</v>
      </c>
      <c r="AD12" s="183">
        <v>0</v>
      </c>
      <c r="AE12" s="183">
        <v>0</v>
      </c>
      <c r="AF12" s="189">
        <v>0</v>
      </c>
      <c r="AG12" s="202">
        <v>39</v>
      </c>
      <c r="AH12" s="183">
        <v>32</v>
      </c>
      <c r="AI12" s="183">
        <v>46</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1116</v>
      </c>
      <c r="AZ12" s="127">
        <f t="shared" si="1"/>
        <v>375</v>
      </c>
      <c r="BA12" s="127">
        <f t="shared" si="1"/>
        <v>358</v>
      </c>
      <c r="BB12" s="127">
        <f t="shared" si="1"/>
        <v>1133</v>
      </c>
      <c r="BC12" s="125">
        <f>IF(ISNUMBER(X12),X12," - ")</f>
        <v>120</v>
      </c>
      <c r="BD12" s="126">
        <f t="shared" si="2"/>
        <v>0.95466666666666666</v>
      </c>
      <c r="BE12" s="127">
        <f t="shared" si="3"/>
        <v>3.1648044692737431</v>
      </c>
      <c r="BF12" s="127">
        <f t="shared" si="4"/>
        <v>0.33519553072625696</v>
      </c>
      <c r="BG12" s="196">
        <f t="shared" si="5"/>
        <v>4.1648044692737427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962</v>
      </c>
      <c r="J13" s="184">
        <f t="shared" si="6"/>
        <v>380</v>
      </c>
      <c r="K13" s="184">
        <f t="shared" si="6"/>
        <v>520</v>
      </c>
      <c r="L13" s="184">
        <f t="shared" si="6"/>
        <v>822</v>
      </c>
      <c r="M13" s="184">
        <f t="shared" si="6"/>
        <v>152</v>
      </c>
      <c r="N13" s="184">
        <f t="shared" si="6"/>
        <v>244</v>
      </c>
      <c r="O13" s="184">
        <f t="shared" si="6"/>
        <v>184</v>
      </c>
      <c r="P13" s="184">
        <f t="shared" si="6"/>
        <v>108</v>
      </c>
      <c r="Q13" s="184">
        <f t="shared" si="6"/>
        <v>115</v>
      </c>
      <c r="R13" s="184">
        <f t="shared" si="6"/>
        <v>1492</v>
      </c>
      <c r="S13" s="184">
        <f t="shared" si="6"/>
        <v>1077</v>
      </c>
      <c r="T13" s="184">
        <f t="shared" si="6"/>
        <v>343</v>
      </c>
      <c r="U13" s="184">
        <f t="shared" si="6"/>
        <v>312</v>
      </c>
      <c r="V13" s="184">
        <f t="shared" si="6"/>
        <v>1108</v>
      </c>
      <c r="W13" s="184">
        <f t="shared" si="6"/>
        <v>73</v>
      </c>
      <c r="X13" s="184">
        <f t="shared" si="6"/>
        <v>120</v>
      </c>
      <c r="Y13" s="184">
        <f t="shared" si="6"/>
        <v>17</v>
      </c>
      <c r="Z13" s="184">
        <f t="shared" si="6"/>
        <v>29</v>
      </c>
      <c r="AA13" s="184">
        <f t="shared" si="6"/>
        <v>23</v>
      </c>
      <c r="AB13" s="184">
        <f t="shared" si="6"/>
        <v>23</v>
      </c>
      <c r="AC13" s="184">
        <f t="shared" si="6"/>
        <v>0</v>
      </c>
      <c r="AD13" s="184">
        <f t="shared" si="6"/>
        <v>0</v>
      </c>
      <c r="AE13" s="184">
        <f t="shared" si="6"/>
        <v>0</v>
      </c>
      <c r="AF13" s="184">
        <f>SUBTOTAL(9,AF9:AF12)</f>
        <v>0</v>
      </c>
      <c r="AG13" s="184">
        <f t="shared" ref="AG13:AT13" si="7">SUBTOTAL(9,AG8:AG12)</f>
        <v>39</v>
      </c>
      <c r="AH13" s="184">
        <f t="shared" si="7"/>
        <v>32</v>
      </c>
      <c r="AI13" s="184">
        <f t="shared" si="7"/>
        <v>46</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1116</v>
      </c>
      <c r="AZ13" s="184">
        <f>SUBTOTAL(9,AZ8:AZ12)</f>
        <v>375</v>
      </c>
      <c r="BA13" s="184">
        <f>SUBTOTAL(9,BA8:BA12)</f>
        <v>358</v>
      </c>
      <c r="BB13" s="184">
        <f>SUBTOTAL(9,BB8:BB12)</f>
        <v>1133</v>
      </c>
      <c r="BC13" s="184">
        <f>SUBTOTAL(9,BC8:BC12)</f>
        <v>120</v>
      </c>
      <c r="BD13" s="205">
        <f>IF(ISNUMBER(BA13/AZ13),BA13/AZ13," - ")</f>
        <v>0.95466666666666666</v>
      </c>
      <c r="BE13" s="206">
        <f>IF(ISNUMBER(BB13/BA13),BB13/BA13, " - ")</f>
        <v>3.1648044692737431</v>
      </c>
      <c r="BF13" s="206">
        <f>IF(ISNUMBER(BC13/BA13),BC13/BA13, " - ")</f>
        <v>0.33519553072625696</v>
      </c>
      <c r="BG13" s="207">
        <f>IF(ISNUMBER((AY13+AZ13)/BA13),(AY13+AZ13)/BA13," - ")</f>
        <v>4.1648044692737427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510</v>
      </c>
      <c r="J16" s="183">
        <v>289</v>
      </c>
      <c r="K16" s="183">
        <v>252</v>
      </c>
      <c r="L16" s="183">
        <v>548</v>
      </c>
      <c r="M16" s="183">
        <v>39</v>
      </c>
      <c r="N16" s="183">
        <v>106</v>
      </c>
      <c r="O16" s="181">
        <v>4</v>
      </c>
      <c r="P16" s="183">
        <v>5</v>
      </c>
      <c r="Q16" s="183">
        <v>8</v>
      </c>
      <c r="R16" s="183">
        <v>62</v>
      </c>
      <c r="S16" s="183">
        <v>508</v>
      </c>
      <c r="T16" s="183">
        <v>270</v>
      </c>
      <c r="U16" s="183">
        <v>298</v>
      </c>
      <c r="V16" s="183">
        <v>483</v>
      </c>
      <c r="W16" s="183">
        <v>37</v>
      </c>
      <c r="X16" s="189">
        <v>148</v>
      </c>
      <c r="Y16" s="202">
        <v>0</v>
      </c>
      <c r="Z16" s="183">
        <v>0</v>
      </c>
      <c r="AA16" s="183">
        <v>0</v>
      </c>
      <c r="AB16" s="183">
        <v>0</v>
      </c>
      <c r="AC16" s="183">
        <v>2</v>
      </c>
      <c r="AD16" s="183">
        <v>1</v>
      </c>
      <c r="AE16" s="183">
        <v>3</v>
      </c>
      <c r="AF16" s="189">
        <v>0</v>
      </c>
      <c r="AG16" s="202">
        <v>0</v>
      </c>
      <c r="AH16" s="183">
        <v>0</v>
      </c>
      <c r="AI16" s="183">
        <v>0</v>
      </c>
      <c r="AJ16" s="203">
        <v>0</v>
      </c>
      <c r="AK16" s="182">
        <v>0</v>
      </c>
      <c r="AL16" s="183">
        <v>5</v>
      </c>
      <c r="AM16" s="183">
        <v>4</v>
      </c>
      <c r="AN16" s="189">
        <v>1</v>
      </c>
      <c r="AO16" s="259">
        <v>2</v>
      </c>
      <c r="AP16" s="155">
        <v>2</v>
      </c>
      <c r="AQ16" s="155">
        <v>2</v>
      </c>
      <c r="AR16" s="155">
        <v>2</v>
      </c>
      <c r="AS16" s="340" t="s">
        <v>487</v>
      </c>
      <c r="AT16" s="203"/>
      <c r="AU16" s="202"/>
      <c r="AV16" s="203"/>
      <c r="AW16" s="202"/>
      <c r="AX16" s="203"/>
      <c r="AY16" s="126">
        <f t="shared" si="9"/>
        <v>508</v>
      </c>
      <c r="AZ16" s="127">
        <f t="shared" si="9"/>
        <v>270</v>
      </c>
      <c r="BA16" s="127">
        <f t="shared" si="9"/>
        <v>298</v>
      </c>
      <c r="BB16" s="127">
        <f t="shared" si="9"/>
        <v>483</v>
      </c>
      <c r="BC16" s="125">
        <f>IF(ISNUMBER(W16),W16," - ")</f>
        <v>37</v>
      </c>
      <c r="BD16" s="126">
        <f t="shared" ref="BD16" si="11">IF(ISNUMBER(BA16/AZ16),BA16/AZ16," - ")</f>
        <v>1.1037037037037036</v>
      </c>
      <c r="BE16" s="127">
        <f t="shared" ref="BE16" si="12">IF(ISNUMBER(BB16/BA16),BB16/BA16, " - ")</f>
        <v>1.6208053691275168</v>
      </c>
      <c r="BF16" s="127">
        <f t="shared" ref="BF16" si="13">IF(ISNUMBER(BC16/BA16),BC16/BA16, " - ")</f>
        <v>0.12416107382550336</v>
      </c>
      <c r="BG16" s="196">
        <f t="shared" si="10"/>
        <v>2.6107382550335569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15</v>
      </c>
      <c r="K17" s="183">
        <v>25</v>
      </c>
      <c r="L17" s="183">
        <v>37</v>
      </c>
      <c r="M17" s="183">
        <v>4</v>
      </c>
      <c r="N17" s="183">
        <v>17</v>
      </c>
      <c r="O17" s="183">
        <v>0</v>
      </c>
      <c r="P17" s="183">
        <v>0</v>
      </c>
      <c r="Q17" s="183">
        <v>0</v>
      </c>
      <c r="R17" s="183">
        <v>0</v>
      </c>
      <c r="S17" s="183">
        <v>46</v>
      </c>
      <c r="T17" s="183">
        <v>21</v>
      </c>
      <c r="U17" s="183">
        <v>19</v>
      </c>
      <c r="V17" s="183">
        <v>48</v>
      </c>
      <c r="W17" s="183">
        <v>5</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21</v>
      </c>
      <c r="BA17" s="129">
        <f t="shared" si="14"/>
        <v>19</v>
      </c>
      <c r="BB17" s="129">
        <f t="shared" si="14"/>
        <v>48</v>
      </c>
      <c r="BC17" s="125">
        <f>IF(ISNUMBER(W17),W17," - ")</f>
        <v>5</v>
      </c>
      <c r="BD17" s="126">
        <f>IF(ISNUMBER(BA17/AZ17),BA17/AZ17," - ")</f>
        <v>0.90476190476190477</v>
      </c>
      <c r="BE17" s="127">
        <f>IF(ISNUMBER(BB17/BA17),BB17/BA17, " - ")</f>
        <v>2.5263157894736841</v>
      </c>
      <c r="BF17" s="127">
        <f>IF(ISNUMBER(BC17/BA17),BC17/BA17, " - ")</f>
        <v>0.26315789473684209</v>
      </c>
      <c r="BG17" s="196">
        <f>IF(ISNUMBER((AY17+AZ17)/BA17),(AY17+AZ17)/BA17," - ")</f>
        <v>3.5263157894736841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557</v>
      </c>
      <c r="J18" s="184">
        <f t="shared" si="15"/>
        <v>304</v>
      </c>
      <c r="K18" s="184">
        <f t="shared" si="15"/>
        <v>277</v>
      </c>
      <c r="L18" s="184">
        <f t="shared" si="15"/>
        <v>585</v>
      </c>
      <c r="M18" s="184">
        <f t="shared" si="15"/>
        <v>43</v>
      </c>
      <c r="N18" s="184">
        <f t="shared" si="15"/>
        <v>123</v>
      </c>
      <c r="O18" s="184">
        <f t="shared" si="15"/>
        <v>4</v>
      </c>
      <c r="P18" s="184">
        <f t="shared" si="15"/>
        <v>5</v>
      </c>
      <c r="Q18" s="184">
        <f t="shared" si="15"/>
        <v>8</v>
      </c>
      <c r="R18" s="184">
        <f t="shared" si="15"/>
        <v>62</v>
      </c>
      <c r="S18" s="184">
        <f t="shared" si="15"/>
        <v>554</v>
      </c>
      <c r="T18" s="184">
        <f t="shared" si="15"/>
        <v>291</v>
      </c>
      <c r="U18" s="184">
        <f t="shared" si="15"/>
        <v>317</v>
      </c>
      <c r="V18" s="184">
        <f t="shared" si="15"/>
        <v>531</v>
      </c>
      <c r="W18" s="184">
        <f t="shared" si="15"/>
        <v>42</v>
      </c>
      <c r="X18" s="184">
        <f t="shared" si="15"/>
        <v>161</v>
      </c>
      <c r="Y18" s="184">
        <f t="shared" si="15"/>
        <v>0</v>
      </c>
      <c r="Z18" s="184">
        <f t="shared" si="15"/>
        <v>0</v>
      </c>
      <c r="AA18" s="184">
        <f t="shared" si="15"/>
        <v>0</v>
      </c>
      <c r="AB18" s="184">
        <f t="shared" si="15"/>
        <v>0</v>
      </c>
      <c r="AC18" s="184">
        <f t="shared" si="15"/>
        <v>2</v>
      </c>
      <c r="AD18" s="184">
        <f t="shared" si="15"/>
        <v>1</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4</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554</v>
      </c>
      <c r="AZ18" s="184">
        <f>SUBTOTAL(9,AZ14:AZ17)</f>
        <v>291</v>
      </c>
      <c r="BA18" s="184">
        <f>SUBTOTAL(9,BA14:BA17)</f>
        <v>317</v>
      </c>
      <c r="BB18" s="184">
        <f>SUBTOTAL(9,BB14:BB17)</f>
        <v>531</v>
      </c>
      <c r="BC18" s="184">
        <f>SUBTOTAL(9,BC14:BC17)</f>
        <v>42</v>
      </c>
      <c r="BD18" s="205">
        <f>IF(ISNUMBER(BA18/AZ18),BA18/AZ18," - ")</f>
        <v>1.0893470790378006</v>
      </c>
      <c r="BE18" s="206">
        <f>IF(ISNUMBER(BB18/BA18),BB18/BA18, " - ")</f>
        <v>1.6750788643533123</v>
      </c>
      <c r="BF18" s="206">
        <f>IF(ISNUMBER(BC18/BA18),BC18/BA18, " - ")</f>
        <v>0.13249211356466878</v>
      </c>
      <c r="BG18" s="207">
        <f>IF(ISNUMBER((AY18+AZ18)/BA18),(AY18+AZ18)/BA18," - ")</f>
        <v>2.6656151419558358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1519</v>
      </c>
      <c r="J19" s="134">
        <f t="shared" si="18"/>
        <v>684</v>
      </c>
      <c r="K19" s="134">
        <f t="shared" si="18"/>
        <v>797</v>
      </c>
      <c r="L19" s="134">
        <f t="shared" si="18"/>
        <v>1407</v>
      </c>
      <c r="M19" s="134">
        <f t="shared" si="18"/>
        <v>195</v>
      </c>
      <c r="N19" s="134">
        <f t="shared" si="18"/>
        <v>367</v>
      </c>
      <c r="O19" s="134">
        <f t="shared" si="18"/>
        <v>188</v>
      </c>
      <c r="P19" s="134">
        <f t="shared" si="18"/>
        <v>113</v>
      </c>
      <c r="Q19" s="134">
        <f t="shared" si="18"/>
        <v>123</v>
      </c>
      <c r="R19" s="134">
        <f t="shared" si="18"/>
        <v>1554</v>
      </c>
      <c r="S19" s="134">
        <f t="shared" si="18"/>
        <v>1631</v>
      </c>
      <c r="T19" s="134">
        <f t="shared" si="18"/>
        <v>634</v>
      </c>
      <c r="U19" s="134">
        <f t="shared" si="18"/>
        <v>629</v>
      </c>
      <c r="V19" s="134">
        <f t="shared" si="18"/>
        <v>1639</v>
      </c>
      <c r="W19" s="134">
        <f t="shared" si="18"/>
        <v>115</v>
      </c>
      <c r="X19" s="134">
        <f t="shared" si="18"/>
        <v>281</v>
      </c>
      <c r="Y19" s="134">
        <f t="shared" si="18"/>
        <v>17</v>
      </c>
      <c r="Z19" s="134">
        <f t="shared" si="18"/>
        <v>29</v>
      </c>
      <c r="AA19" s="134">
        <f t="shared" si="18"/>
        <v>23</v>
      </c>
      <c r="AB19" s="134">
        <f t="shared" si="18"/>
        <v>23</v>
      </c>
      <c r="AC19" s="134">
        <f t="shared" si="18"/>
        <v>2</v>
      </c>
      <c r="AD19" s="134">
        <f t="shared" si="18"/>
        <v>1</v>
      </c>
      <c r="AE19" s="134">
        <f t="shared" si="18"/>
        <v>3</v>
      </c>
      <c r="AF19" s="134">
        <f t="shared" si="18"/>
        <v>0</v>
      </c>
      <c r="AG19" s="134">
        <f t="shared" si="18"/>
        <v>39</v>
      </c>
      <c r="AH19" s="134">
        <f t="shared" si="18"/>
        <v>32</v>
      </c>
      <c r="AI19" s="134">
        <f t="shared" si="18"/>
        <v>46</v>
      </c>
      <c r="AJ19" s="134">
        <f t="shared" si="18"/>
        <v>25</v>
      </c>
      <c r="AK19" s="134">
        <f t="shared" si="18"/>
        <v>0</v>
      </c>
      <c r="AL19" s="134">
        <f t="shared" si="18"/>
        <v>5</v>
      </c>
      <c r="AM19" s="134">
        <f t="shared" si="18"/>
        <v>4</v>
      </c>
      <c r="AN19" s="210">
        <f t="shared" si="18"/>
        <v>1</v>
      </c>
      <c r="AO19" s="211">
        <v>3</v>
      </c>
      <c r="AP19" s="211">
        <v>2</v>
      </c>
      <c r="AQ19" s="211">
        <v>2</v>
      </c>
      <c r="AR19" s="211">
        <v>2</v>
      </c>
      <c r="AS19" s="153">
        <f t="shared" si="18"/>
        <v>0</v>
      </c>
      <c r="AT19" s="153">
        <f t="shared" si="18"/>
        <v>0</v>
      </c>
      <c r="AU19" s="211"/>
      <c r="AV19" s="212"/>
      <c r="AW19" s="211"/>
      <c r="AX19" s="212"/>
      <c r="AY19" s="133">
        <f>SUBTOTAL(9,AY9:AY18)</f>
        <v>1670</v>
      </c>
      <c r="AZ19" s="134">
        <f>SUBTOTAL(9,AZ9:AZ18)</f>
        <v>666</v>
      </c>
      <c r="BA19" s="134">
        <f>SUBTOTAL(9,BA9:BA18)</f>
        <v>675</v>
      </c>
      <c r="BB19" s="134">
        <f>SUBTOTAL(9,BB9:BB18)</f>
        <v>1664</v>
      </c>
      <c r="BC19" s="135">
        <f>SUBTOTAL(9,BC9:BC18)</f>
        <v>162</v>
      </c>
      <c r="BD19" s="213">
        <f>IF(ISNUMBER(BA19/AZ19),BA19/AZ19," - ")</f>
        <v>1.0135135135135136</v>
      </c>
      <c r="BE19" s="210">
        <f>IF(ISNUMBER(BB19/BA19),BB19/BA19, " - ")</f>
        <v>2.4651851851851854</v>
      </c>
      <c r="BF19" s="210">
        <f>IF(ISNUMBER(BC19/BA19),BC19/BA19, " - ")</f>
        <v>0.24</v>
      </c>
      <c r="BG19" s="135">
        <f>IF(ISNUMBER((AY19+AZ19)/BA19),(AY19+AZ19)/BA19," - ")</f>
        <v>3.4607407407407407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yu90BuqYjinjPvV6lLMubFiVM6Fnsw31gaOuhIpxIz9rS+e7pXJbUrRnUgdXLXCl4jyGn16PYJuHWz6Z7oJw==" saltValue="IThgFra6TGPLFictC60g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IduxTxibFzIGsXhu/5hTNMnUsrpCLIJkHzqdB5ksKshfQqvA6RuisI4C+6NR2sO8NX9MaIbYYupxSN2M6rjg==" saltValue="WamM45AdIbjt0QWK4555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1487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243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1.3358024691358024</v>
      </c>
      <c r="BH12" s="260">
        <f>IF(ISNUMBER(((IF(J_V="SI",Datos!L12/Datos!K12,(Datos!L12+Datos!AB12)/(Datos!K12+Datos!AA12)))*11)/factor_trimestre),((IF(J_V="SI",Datos!L12/Datos!K12,(Datos!L12+Datos!AB12)/(Datos!K12+Datos!AA12)))*11)/factor_trimestre," - ")</f>
        <v>4.66358595194085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-6.6800267201068807E-3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115</v>
      </c>
      <c r="AD13" s="899">
        <f t="shared" si="1"/>
        <v>0</v>
      </c>
      <c r="AE13" s="899">
        <f t="shared" si="1"/>
        <v>0</v>
      </c>
      <c r="AF13" s="899">
        <f t="shared" si="1"/>
        <v>4</v>
      </c>
      <c r="AG13" s="899">
        <f t="shared" si="1"/>
        <v>0</v>
      </c>
      <c r="AH13" s="899">
        <f t="shared" si="1"/>
        <v>23</v>
      </c>
      <c r="AI13" s="899">
        <f t="shared" si="1"/>
        <v>0</v>
      </c>
      <c r="AJ13" s="899">
        <f t="shared" si="1"/>
        <v>0</v>
      </c>
      <c r="AK13" s="899">
        <f t="shared" si="1"/>
        <v>0</v>
      </c>
      <c r="AL13" s="899">
        <f t="shared" si="1"/>
        <v>0</v>
      </c>
      <c r="AM13" s="899">
        <f t="shared" si="1"/>
        <v>1492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244</v>
      </c>
      <c r="BE13" s="899">
        <f t="shared" si="1"/>
        <v>0</v>
      </c>
      <c r="BF13" s="899">
        <f t="shared" si="1"/>
        <v>0</v>
      </c>
      <c r="BG13" s="899">
        <f>IF(ISNUMBER(Datos!K13/Datos!J13),Datos!K13/Datos!J13," - ")</f>
        <v>1.368421052631579</v>
      </c>
      <c r="BH13" s="903">
        <f>IF(ISNUMBER(((Datos!L13/Datos!K13)*11)/factor_trimestre),((Datos!L13/Datos!K13)*11)/factor_trimestre," - ")</f>
        <v>4.7423076923076923</v>
      </c>
      <c r="BI13" s="899">
        <f>IF(ISNUMBER('Resol  Asuntos'!D13/NºAsuntos!G13),'Resol  Asuntos'!D13/NºAsuntos!G13," - ")</f>
        <v>0.27992633517495397</v>
      </c>
      <c r="BJ13" s="899" t="str">
        <f>IF(ISNUMBER(Datos!CI13/Datos!CJ13),Datos!CI13/Datos!CJ13," - ")</f>
        <v xml:space="preserve"> - </v>
      </c>
      <c r="BK13" s="899">
        <f>SUBTOTAL(9,BK8:BK12)</f>
        <v>0</v>
      </c>
      <c r="BL13" s="899">
        <f>IF(ISNUMBER((I13-AB13+L13)/(F13)),(I13-AB13+L13)/(F13)," - ")</f>
        <v>-1</v>
      </c>
      <c r="BM13" s="904">
        <f>SUBTOTAL(9,BM9:BM12)</f>
        <v>1.4933199732798932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511</v>
      </c>
      <c r="G16" s="598">
        <f>IF(ISNUMBER(IF(D_I="SI",Datos!I16,Datos!I16+Datos!AC16)),IF(D_I="SI",Datos!I16,Datos!I16+Datos!AC16)," - ")</f>
        <v>510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252</v>
      </c>
      <c r="AC16" s="226">
        <f>IF(ISNUMBER(Datos!Q16),Datos!Q16," - ")</f>
        <v>8</v>
      </c>
      <c r="AD16" s="334"/>
      <c r="AE16" s="484"/>
      <c r="AF16" s="596">
        <f>IF(ISNUMBER(IF(D_I="SI",Datos!L16,Datos!L16+Datos!AF16)),IF(D_I="SI",Datos!L16,Datos!L16+Datos!AF16)," - ")</f>
        <v>548</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0.87197231833910038</v>
      </c>
      <c r="BH16" s="260">
        <f>IF(ISNUMBER(((IF(D_I="SI",Datos!L16/Datos!K16,(Datos!L16+Datos!AF16)/(Datos!K16+Datos!AE16)))*11)/factor_trimestre),((IF(D_I="SI",Datos!L16/Datos!K16,(Datos!L16+Datos!AF16)/(Datos!K16+Datos!AE16)))*11)/factor_trimestre," - ")</f>
        <v>6.5238095238095228</v>
      </c>
      <c r="BI16" s="243">
        <f>IF(ISNUMBER('Resol  Asuntos'!D16/NºAsuntos!G16),'Resol  Asuntos'!D16/NºAsuntos!G16," - ")</f>
        <v>0.15476190476190477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1.6666666666666667</v>
      </c>
      <c r="BH17" s="260">
        <f>IF(ISNUMBER(((IF(D_I="SI",Datos!L17/Datos!K17,(Datos!L17+Datos!AF17)/(Datos!K17+Datos!AE17)))*11)/factor_trimestre),((IF(D_I="SI",Datos!L17/Datos!K17,(Datos!L17+Datos!AF17)/(Datos!K17+Datos!AE17)))*11)/factor_trimestre," - ")</f>
        <v>4.4400000000000004</v>
      </c>
      <c r="BI17" s="243">
        <f>IF(ISNUMBER('Resol  Asuntos'!D17/NºAsuntos!G17),'Resol  Asuntos'!D17/NºAsuntos!G17," - ")</f>
        <v>0.16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511</v>
      </c>
      <c r="G18" s="898">
        <f>SUBTOTAL(9,G15:G17)</f>
        <v>557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v>
      </c>
      <c r="AC18" s="899">
        <f t="shared" si="4"/>
        <v>8</v>
      </c>
      <c r="AD18" s="899">
        <f t="shared" si="4"/>
        <v>0</v>
      </c>
      <c r="AE18" s="899">
        <f t="shared" si="4"/>
        <v>0</v>
      </c>
      <c r="AF18" s="899">
        <f t="shared" si="4"/>
        <v>585</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123</v>
      </c>
      <c r="BE18" s="899">
        <f t="shared" si="4"/>
        <v>0</v>
      </c>
      <c r="BF18" s="899">
        <f t="shared" si="4"/>
        <v>0</v>
      </c>
      <c r="BG18" s="899">
        <f>IF(ISNUMBER(Datos!K18/Datos!J18),Datos!K18/Datos!J18," - ")</f>
        <v>0.91118421052631582</v>
      </c>
      <c r="BH18" s="903">
        <f>IF(ISNUMBER(((Datos!L18/Datos!K18)*11)/factor_trimestre),((Datos!L18/Datos!K18)*11)/factor_trimestre," - ")</f>
        <v>6.3357400722021655</v>
      </c>
      <c r="BI18" s="899">
        <f>SUBTOTAL(9,BI15:BI17)</f>
        <v>0.3147619047619048</v>
      </c>
      <c r="BJ18" s="899">
        <f>SUBTOTAL(9,BJ15:BJ17)</f>
        <v>0</v>
      </c>
      <c r="BK18" s="899">
        <f>SUBTOTAL(9,BK15:BK17)</f>
        <v>0</v>
      </c>
      <c r="BL18" s="899">
        <f>IF(ISNUMBER((I18-AB18+L18)/(F18)),(I18-AB18+L18)/(F18)," - ")</f>
        <v>-0.54207436399217224</v>
      </c>
      <c r="BM18" s="905">
        <f>IF(ISNUMBER((Datos!P18-Datos!Q18)/(Datos!R18-Datos!P18+Datos!Q18)),(Datos!P18-Datos!Q18)/(Datos!R18-Datos!P18+Datos!Q18)," - ")</f>
        <v>-4.6153846153846156E-2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513</v>
      </c>
      <c r="G19" s="820">
        <f t="shared" si="6"/>
        <v>559</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279</v>
      </c>
      <c r="AC19" s="821">
        <f t="shared" si="7"/>
        <v>123</v>
      </c>
      <c r="AD19" s="821">
        <f t="shared" si="7"/>
        <v>0</v>
      </c>
      <c r="AE19" s="821">
        <f t="shared" si="7"/>
        <v>0</v>
      </c>
      <c r="AF19" s="828">
        <f t="shared" si="7"/>
        <v>589</v>
      </c>
      <c r="AG19" s="828">
        <f t="shared" si="7"/>
        <v>0</v>
      </c>
      <c r="AH19" s="828">
        <f t="shared" si="7"/>
        <v>23</v>
      </c>
      <c r="AI19" s="828">
        <f t="shared" si="7"/>
        <v>0</v>
      </c>
      <c r="AJ19" s="821">
        <f t="shared" si="7"/>
        <v>0</v>
      </c>
      <c r="AK19" s="828">
        <f t="shared" si="7"/>
        <v>0</v>
      </c>
      <c r="AL19" s="828">
        <f t="shared" si="7"/>
        <v>0</v>
      </c>
      <c r="AM19" s="828">
        <f t="shared" si="7"/>
        <v>1554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v>
      </c>
      <c r="BD19" s="820">
        <f t="shared" si="7"/>
        <v>367</v>
      </c>
      <c r="BE19" s="820">
        <f t="shared" si="7"/>
        <v>0</v>
      </c>
      <c r="BF19" s="830">
        <f t="shared" si="7"/>
        <v>0</v>
      </c>
      <c r="BG19" s="915">
        <f>IF(ISNUMBER(Datos!K19/Datos!J19),Datos!K19/Datos!J19," - ")</f>
        <v>1.1652046783625731</v>
      </c>
      <c r="BH19" s="915">
        <f>IF(ISNUMBER(((Datos!L19/Datos!K19)*11)/factor_trimestre),((Datos!L19/Datos!K19)*11)/factor_trimestre," - ")</f>
        <v>5.2961104140526976</v>
      </c>
      <c r="BI19" s="813">
        <f>IF(ISNUMBER(Datos!J19/Datos!I19),Datos!J19/Datos!I19," - ")</f>
        <v>0.45029624753127057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-0.54385964912280704</v>
      </c>
      <c r="BM19" s="889">
        <f>IF(ISNUMBER((Datos!P19-Datos!Q19+R19)/(Datos!R19-Datos!P19+Datos!Q19-R19)),(Datos!P19-Datos!Q19+R19)/(Datos!R19-Datos!P19+Datos!Q19-R19)," - ")</f>
        <v>-6.3938618925831201E-3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293.87128701751948</v>
      </c>
      <c r="G21" s="552">
        <f>IF(ISNUMBER(STDEV(G8:G18)),STDEV(G8:G18),"-")</f>
        <v>283.9811613470161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140.17239385841992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69.198265874225484</v>
      </c>
      <c r="BD21" s="551"/>
      <c r="BE21" s="551">
        <f>IF(ISNUMBER(STDEV(BE8:BE18)),STDEV(BE8:BE18),"-")</f>
        <v>0</v>
      </c>
      <c r="BF21" s="556">
        <f>IF(ISNUMBER(STDEV(BF8:BF18)),STDEV(BF8:BF18),"-")</f>
        <v>0</v>
      </c>
      <c r="BG21" s="775">
        <f>IF(ISNUMBER(STDEV(BG8:BG18)),STDEV(BG8:BG18),"-")</f>
        <v>0.42330248327657349</v>
      </c>
      <c r="BH21" s="776">
        <f>IF(ISNUMBER(STDEV(BH8:BH18)),STDEV(BH8:BH18),"-")</f>
        <v>0.93589239639354815</v>
      </c>
      <c r="BI21" s="249">
        <f>IF(ISNUMBER(STDEV(BI8:BI18)),STDEV(BI8:BI18),"-")</f>
        <v>8.2077535611569802E-2</v>
      </c>
      <c r="BJ21" s="230" t="str">
        <f>IF(ISNUMBER(BL21/BM21),BL21/BM21," - ")</f>
        <v xml:space="preserve"> - </v>
      </c>
      <c r="BK21" s="575"/>
      <c r="BL21" s="559">
        <f>IF(ISNUMBER(STDEV(BL8:BL18)),STDEV(BL8:BL18),"-")</f>
        <v>0.32380232250029739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ehdbuGaWLLadSot4gFXzP/7U/17EcKya46I8IJW4nvd2bf/oGxo04k364YapWaBkm8cxnxXWxMij3BmVh2JOQ==" saltValue="A37QWEuldoWxPQ6je4sX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115</v>
      </c>
      <c r="AA12" s="332" t="str">
        <f>IF(ISNUMBER(IF(J_V="SI",Datos!L12,Datos!L12+Datos!AB12)-IF(Monitorios="SI",Datos!CD12,0)),
                          IF(J_V="SI",Datos!L12,Datos!L12+Datos!AB12)-IF(Monitorios="SI",Datos!CD12,0),
                          " - ")</f>
        <v xml:space="preserve"> - </v>
      </c>
      <c r="AB12" s="334"/>
      <c r="AC12" s="334"/>
      <c r="AD12" s="484"/>
      <c r="AE12" s="484">
        <f>IF(ISNUMBER(Datos!R12),Datos!R12," - ")</f>
        <v>1487</v>
      </c>
      <c r="AF12" s="229" t="str">
        <f>IF(ISNUMBER(Datos!BV12),Datos!BV12," - ")</f>
        <v xml:space="preserve"> - </v>
      </c>
      <c r="AG12" s="225" t="str">
        <f>IF(ISNUMBER(Datos!DV12),Datos!DV12," - ")</f>
        <v xml:space="preserve"> - </v>
      </c>
      <c r="AH12" s="298"/>
      <c r="AI12" s="227"/>
      <c r="AJ12" s="225">
        <f>IF(ISNUMBER(Datos!M12),Datos!M12," - ")</f>
        <v>151</v>
      </c>
      <c r="AK12" s="229">
        <f>IF(ISNUMBER(Datos!N12),Datos!N12," - ")</f>
        <v>243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4.66358595194085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-6.6800267201068807E-3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115</v>
      </c>
      <c r="AA13" s="900">
        <f t="shared" si="2"/>
        <v>4</v>
      </c>
      <c r="AB13" s="900">
        <f t="shared" si="2"/>
        <v>0</v>
      </c>
      <c r="AC13" s="900">
        <f t="shared" si="2"/>
        <v>0</v>
      </c>
      <c r="AD13" s="900">
        <f t="shared" si="2"/>
        <v>0</v>
      </c>
      <c r="AE13" s="900">
        <f t="shared" si="2"/>
        <v>1492</v>
      </c>
      <c r="AF13" s="908">
        <f t="shared" si="2"/>
        <v>0</v>
      </c>
      <c r="AG13" s="908">
        <f t="shared" si="2"/>
        <v>0</v>
      </c>
      <c r="AH13" s="908">
        <f t="shared" si="2"/>
        <v>0</v>
      </c>
      <c r="AI13" s="908">
        <f t="shared" si="2"/>
        <v>0</v>
      </c>
      <c r="AJ13" s="908">
        <f t="shared" si="2"/>
        <v>152</v>
      </c>
      <c r="AK13" s="908">
        <f t="shared" si="2"/>
        <v>244</v>
      </c>
      <c r="AL13" s="908">
        <f t="shared" si="2"/>
        <v>0</v>
      </c>
      <c r="AM13" s="908">
        <f t="shared" si="2"/>
        <v>0</v>
      </c>
      <c r="AN13" s="908">
        <f t="shared" si="2"/>
        <v>0</v>
      </c>
      <c r="AO13" s="904">
        <f>IF(ISNUMBER(((NºAsuntos!I13/NºAsuntos!G13)*11)/factor_trimestre),((NºAsuntos!I13/NºAsuntos!G13)*11)/factor_trimestre," - ")</f>
        <v>4.6685082872928181</v>
      </c>
      <c r="AP13" s="910" t="str">
        <f>IF(ISNUMBER(Datos!CI13/Datos!CJ13),Datos!CI13/Datos!CJ13," - ")</f>
        <v xml:space="preserve"> - </v>
      </c>
      <c r="AQ13" s="928">
        <f t="shared" ref="AQ13:AV13" si="3">SUBTOTAL(9,AQ9:AQ12)</f>
        <v>0</v>
      </c>
      <c r="AR13" s="928">
        <f t="shared" si="3"/>
        <v>1.4933199732798932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511</v>
      </c>
      <c r="G16" s="225">
        <f>IF(ISNUMBER(IF(D_I="SI",Datos!I16,Datos!I16+Datos!AC16)),IF(D_I="SI",Datos!I16,Datos!I16+Datos!AC16)," - ")</f>
        <v>510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252</v>
      </c>
      <c r="Z16" s="619">
        <f>IF(ISNUMBER(Datos!Q16),Datos!Q16," - ")</f>
        <v>8</v>
      </c>
      <c r="AA16" s="332">
        <f>IF(ISNUMBER(IF(D_I="SI",Datos!L16,Datos!L16+Datos!AF16)),IF(D_I="SI",Datos!L16,Datos!L16+Datos!AF16)," - ")</f>
        <v>548</v>
      </c>
      <c r="AB16" s="334"/>
      <c r="AC16" s="334"/>
      <c r="AD16" s="484"/>
      <c r="AE16" s="484">
        <f>IF(ISNUMBER(Datos!R16),Datos!R16," - ")</f>
        <v>62</v>
      </c>
      <c r="AF16" s="229" t="str">
        <f>IF(ISNUMBER(Datos!BV16),Datos!BV16," - ")</f>
        <v xml:space="preserve"> - </v>
      </c>
      <c r="AG16" s="225"/>
      <c r="AH16" s="298"/>
      <c r="AI16" s="227"/>
      <c r="AJ16" s="225">
        <f>IF(ISNUMBER(Datos!M16),Datos!M16," - ")</f>
        <v>39</v>
      </c>
      <c r="AK16" s="229">
        <f>IF(ISNUMBER(Datos!N16),Datos!N16," - ")</f>
        <v>106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6.5238095238095228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4.4400000000000004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511</v>
      </c>
      <c r="G18" s="898">
        <f>SUBTOTAL(9,G15:G17)</f>
        <v>557</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v>
      </c>
      <c r="Z18" s="932">
        <f t="shared" si="5"/>
        <v>8</v>
      </c>
      <c r="AA18" s="932">
        <f t="shared" si="5"/>
        <v>585</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43</v>
      </c>
      <c r="AK18" s="932">
        <f t="shared" si="5"/>
        <v>123</v>
      </c>
      <c r="AL18" s="932">
        <f t="shared" si="5"/>
        <v>0</v>
      </c>
      <c r="AM18" s="932">
        <f t="shared" si="5"/>
        <v>0</v>
      </c>
      <c r="AN18" s="932">
        <f t="shared" si="5"/>
        <v>0</v>
      </c>
      <c r="AO18" s="934">
        <f>IF(ISNUMBER(((NºAsuntos!I18/NºAsuntos!G18)*11)/factor_trimestre),((NºAsuntos!I18/NºAsuntos!G18)*11)/factor_trimestre," - ")</f>
        <v>6.3357400722021655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513</v>
      </c>
      <c r="G19" s="820">
        <f t="shared" si="7"/>
        <v>559</v>
      </c>
      <c r="H19" s="821">
        <f t="shared" si="7"/>
        <v>0</v>
      </c>
      <c r="I19" s="820">
        <f t="shared" si="7"/>
        <v>0</v>
      </c>
      <c r="J19" s="822">
        <f t="shared" si="7"/>
        <v>0</v>
      </c>
      <c r="K19" s="820">
        <f t="shared" si="7"/>
        <v>0</v>
      </c>
      <c r="L19" s="823">
        <f t="shared" si="7"/>
        <v>0</v>
      </c>
      <c r="M19" s="820">
        <f t="shared" si="7"/>
        <v>0</v>
      </c>
      <c r="N19" s="821">
        <f t="shared" si="7"/>
        <v>113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279</v>
      </c>
      <c r="Z19" s="827">
        <f t="shared" si="8"/>
        <v>123</v>
      </c>
      <c r="AA19" s="828">
        <f t="shared" si="8"/>
        <v>589</v>
      </c>
      <c r="AB19" s="828">
        <f t="shared" si="8"/>
        <v>0</v>
      </c>
      <c r="AC19" s="828">
        <f t="shared" si="8"/>
        <v>0</v>
      </c>
      <c r="AD19" s="829">
        <f t="shared" si="8"/>
        <v>0</v>
      </c>
      <c r="AE19" s="829">
        <f t="shared" si="8"/>
        <v>1554</v>
      </c>
      <c r="AF19" s="830">
        <f t="shared" si="8"/>
        <v>0</v>
      </c>
      <c r="AG19" s="831">
        <f t="shared" si="8"/>
        <v>0</v>
      </c>
      <c r="AH19" s="832">
        <f t="shared" si="8"/>
        <v>0</v>
      </c>
      <c r="AI19" s="830">
        <f t="shared" si="8"/>
        <v>0</v>
      </c>
      <c r="AJ19" s="820">
        <f t="shared" si="8"/>
        <v>195</v>
      </c>
      <c r="AK19" s="820">
        <f t="shared" si="8"/>
        <v>367</v>
      </c>
      <c r="AL19" s="820">
        <f t="shared" si="8"/>
        <v>0</v>
      </c>
      <c r="AM19" s="833">
        <f t="shared" si="8"/>
        <v>0</v>
      </c>
      <c r="AN19" s="823">
        <f>IF(ISNUMBER(Datos!K19/Datos!J19),Datos!K19/Datos!J19," - ")</f>
        <v>1.1652046783625731</v>
      </c>
      <c r="AO19" s="823">
        <f>IF(ISNUMBER(FIND("06",Criterios!A8,1)),(IF(ISNUMBER(((Datos!R19/Datos!Q19)*11)/factor_trimestre),((Datos!R19/Datos!Q19)*11)/factor_trimestre," - ")),(IF(ISNUMBER(((Datos!L19/Datos!K19)*11)/factor_trimestre),((Datos!L19/Datos!K19)*11)/factor_trimestre," - ")))</f>
        <v>5.2961104140526976</v>
      </c>
      <c r="AP19" s="834" t="str">
        <f>IF(ISNUMBER(Datos!CI19/Datos!CJ19),Datos!CI19/Datos!CJ19," - ")</f>
        <v xml:space="preserve"> - </v>
      </c>
      <c r="AQ19" s="834">
        <f>IF(OR(ISNUMBER(FIND("01",Criterios!A8,1)),ISNUMBER(FIND("02",Criterios!A8,1)),ISNUMBER(FIND("03",Criterios!A8,1)),ISNUMBER(FIND("04",Criterios!A8,1))),(J19-Y19+K19)/(F19-K19),(I19-Y19+K19)/(F19-K19))</f>
        <v>-0.54385964912280704</v>
      </c>
      <c r="AR19" s="834">
        <f>IF(ISNUMBER((Datos!P19-Datos!Q19+O19)/(Datos!R19-Datos!P19+Datos!Q19-O19)),(Datos!P19-Datos!Q19+O19)/(Datos!R19-Datos!P19+Datos!Q19-O19)," - ")</f>
        <v>-6.3938618925831201E-3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293.87128701751948</v>
      </c>
      <c r="G21" s="552">
        <f>IF(ISNUMBER(STDEV(G8:G18)),STDEV(G8:G18),"-")</f>
        <v>283.9811613470161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69.198265874225484</v>
      </c>
      <c r="AK21" s="252"/>
      <c r="AL21" s="252">
        <f>IF(ISNUMBER(STDEV(AL8:AL18)),STDEV(AL8:AL18),"-")</f>
        <v>0</v>
      </c>
      <c r="AM21" s="254">
        <f>IF(ISNUMBER(STDEV(AM8:AM18)),STDEV(AM8:AM18),"-")</f>
        <v>0</v>
      </c>
      <c r="AN21" s="539">
        <f>IF(ISNUMBER(STDEV(AN8:AN18)),STDEV(AN8:AN18),"-")</f>
        <v>0</v>
      </c>
      <c r="AO21" s="540">
        <f>IF(ISNUMBER(STDEV(AO8:AO18)),STDEV(AO8:AO18),"-")</f>
        <v>0.94748086630463035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1U72V4jP/eKwc2TX9yb0udkUpzd/YK4oIZRmoLZfyes2egQIlacWLv5vWL4HSvgs+tciy5xAA934P7ItG5hpw==" saltValue="OW+pCn7srR7Li1wLiFaR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bU9+9QzoOQxVcDc22Td0pgK7MvanUEqtdGr9LrR6fp2nDyVzONOhSji4ysTzrca904P0DAOeYwGiUytKGXrwg==" saltValue="VSUgnFoqxm91BxokC9do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Hp+LE5yk3s5Igq6Sup7PTYo0CxUAZRq43vFsIDQxXqPMHhKh5uv6M+Vf7CX12PBXxf4TdQu0yjEQPcrUy02Q==" saltValue="Lj4O+Cj4kJ/gXHbmvUbQ9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0.27992633517495397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0.19793780983490833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2YtKt5uKuCyBCy+cBJepjHRa/KUqwsehHFq4Lm6a88fKicXmZsoehopzK6/cyXiMfFwjL2sk+N8RZjFB3Fuaw==" saltValue="vYkgBOBhv6MxptorQ5KB1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0/I6NzoWbQE07hMj261QdYS5w9x4gD2HdyWrmbMC9aQQKrY/JviH2mbNIdE++Jt2cH6p4Np1x0UdEneBYKqA==" saltValue="3qye3Ktaw2DiIZMI555P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243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4.66358595194085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-6.6800267201068807E-3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115</v>
      </c>
      <c r="AE13" s="939">
        <f t="shared" si="1"/>
        <v>0</v>
      </c>
      <c r="AF13" s="939">
        <f t="shared" si="1"/>
        <v>4</v>
      </c>
      <c r="AG13" s="939">
        <f t="shared" si="1"/>
        <v>0</v>
      </c>
      <c r="AH13" s="939">
        <f t="shared" si="1"/>
        <v>1487</v>
      </c>
      <c r="AI13" s="939">
        <f t="shared" si="1"/>
        <v>0</v>
      </c>
      <c r="AJ13" s="939">
        <f t="shared" si="1"/>
        <v>0</v>
      </c>
      <c r="AK13" s="939">
        <f t="shared" si="1"/>
        <v>0</v>
      </c>
      <c r="AL13" s="939">
        <f t="shared" si="1"/>
        <v>152</v>
      </c>
      <c r="AM13" s="939">
        <f t="shared" si="1"/>
        <v>244</v>
      </c>
      <c r="AN13" s="939">
        <f t="shared" si="1"/>
        <v>0</v>
      </c>
      <c r="AO13" s="939">
        <f t="shared" si="1"/>
        <v>0</v>
      </c>
      <c r="AP13" s="944">
        <f>IF(ISNUMBER(((Datos!L13/Datos!K13)*11)/factor_trimestre),((Datos!L13/Datos!K13)*11)/factor_trimestre," - ")</f>
        <v>4.7423076923076923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-6.6800267201068807E-3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6.3357400722021655</v>
      </c>
      <c r="AQ18" s="944">
        <f>IF(ISNUMBER(((Datos!M18/Datos!L18)*11)/factor_trimestre),((Datos!M18/Datos!L18)*11)/factor_trimestre," - ")</f>
        <v>0.22051282051282053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-4.6153846153846156E-2</v>
      </c>
      <c r="AW18" s="946">
        <f>IF(ISNUMBER((Datos!Q18-Datos!R18)/(Datos!S18-Datos!Q18+Datos!R18)),(Datos!Q18-Datos!R18)/(Datos!S18-Datos!Q18+Datos!R18)," - ")</f>
        <v>-8.8815789473684209E-2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115</v>
      </c>
      <c r="AE19" s="957">
        <f t="shared" si="5"/>
        <v>0</v>
      </c>
      <c r="AF19" s="958">
        <f t="shared" si="5"/>
        <v>4</v>
      </c>
      <c r="AG19" s="958">
        <f t="shared" si="5"/>
        <v>0</v>
      </c>
      <c r="AH19" s="958">
        <f t="shared" si="5"/>
        <v>1487</v>
      </c>
      <c r="AI19" s="958">
        <f t="shared" si="5"/>
        <v>0</v>
      </c>
      <c r="AJ19" s="959">
        <f t="shared" si="5"/>
        <v>0</v>
      </c>
      <c r="AK19" s="959">
        <f t="shared" si="5"/>
        <v>0</v>
      </c>
      <c r="AL19" s="951">
        <f t="shared" si="5"/>
        <v>152</v>
      </c>
      <c r="AM19" s="951">
        <f t="shared" si="5"/>
        <v>244</v>
      </c>
      <c r="AN19" s="951">
        <f t="shared" si="5"/>
        <v>0</v>
      </c>
      <c r="AO19" s="951">
        <f t="shared" si="5"/>
        <v>0</v>
      </c>
      <c r="AP19" s="951">
        <f>IF(ISNUMBER(((Datos!L19/Datos!K19)*11)/factor_trimestre),((Datos!L19/Datos!K19)*11)/factor_trimestre," - ")</f>
        <v>5.2961104140526976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-6.3938618925831201E-3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87.181802382530876</v>
      </c>
      <c r="AM21" s="736"/>
      <c r="AN21" s="736">
        <f>IF(ISNUMBER(STDEV(AN8:AN18)),STDEV(AN8:AN18),"-")</f>
        <v>0</v>
      </c>
      <c r="AO21" s="742">
        <f>IF(ISNUMBER(STDEV(AO8:AO18)),STDEV(AO8:AO18),"-")</f>
        <v>0</v>
      </c>
      <c r="AP21" s="779">
        <f>IF(ISNUMBER(STDEV(AP8:AP18)),STDEV(AP8:AP18),"-")</f>
        <v>0.85741069060524999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Qp7FaA6WV3xgsCzRkToHGdc6fV0Yp+4QMpvrbEBDq90qBtbn8Bf0WVJY6/ngFRHASY9qc7XhnR/PzjkiQKvyg==" saltValue="fSSq9q0Wg06IS0s1tkKE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